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osseininiya.na\Desktop\شفافیت\"/>
    </mc:Choice>
  </mc:AlternateContent>
  <bookViews>
    <workbookView xWindow="0" yWindow="0" windowWidth="24000" windowHeight="9735"/>
  </bookViews>
  <sheets>
    <sheet name="Sheet1" sheetId="1" r:id="rId1"/>
  </sheets>
  <externalReferences>
    <externalReference r:id="rId2"/>
  </externalReference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65" i="1" l="1"/>
  <c r="K62" i="1" s="1"/>
  <c r="F63" i="1"/>
  <c r="F62" i="1" s="1"/>
  <c r="L62" i="1"/>
  <c r="J62" i="1"/>
  <c r="I62" i="1"/>
  <c r="L61" i="1"/>
  <c r="K61" i="1"/>
  <c r="K57" i="1" s="1"/>
  <c r="J61" i="1"/>
  <c r="F61" i="1"/>
  <c r="L60" i="1"/>
  <c r="L57" i="1" s="1"/>
  <c r="K60" i="1"/>
  <c r="J60" i="1"/>
  <c r="F60" i="1"/>
  <c r="L59" i="1"/>
  <c r="K59" i="1"/>
  <c r="J59" i="1"/>
  <c r="F59" i="1"/>
  <c r="L58" i="1"/>
  <c r="J58" i="1"/>
  <c r="F58" i="1"/>
  <c r="J57" i="1"/>
  <c r="I57" i="1"/>
  <c r="L56" i="1"/>
  <c r="J56" i="1"/>
  <c r="F56" i="1"/>
  <c r="L55" i="1"/>
  <c r="L53" i="1" s="1"/>
  <c r="J55" i="1"/>
  <c r="I55" i="1"/>
  <c r="F55" i="1"/>
  <c r="L54" i="1"/>
  <c r="J54" i="1"/>
  <c r="I54" i="1"/>
  <c r="F54" i="1"/>
  <c r="K53" i="1"/>
  <c r="J53" i="1"/>
  <c r="I53" i="1"/>
  <c r="L52" i="1"/>
  <c r="L51" i="1" s="1"/>
  <c r="J52" i="1"/>
  <c r="J51" i="1" s="1"/>
  <c r="F52" i="1"/>
  <c r="F51" i="1" s="1"/>
  <c r="K51" i="1"/>
  <c r="I51" i="1"/>
  <c r="I50" i="1"/>
  <c r="K50" i="1" s="1"/>
  <c r="K49" i="1" s="1"/>
  <c r="F50" i="1"/>
  <c r="L49" i="1"/>
  <c r="J49" i="1"/>
  <c r="I49" i="1"/>
  <c r="F49" i="1"/>
  <c r="L48" i="1"/>
  <c r="L45" i="1" s="1"/>
  <c r="L44" i="1" s="1"/>
  <c r="L47" i="1"/>
  <c r="F47" i="1"/>
  <c r="K45" i="1"/>
  <c r="F45" i="1"/>
  <c r="J44" i="1"/>
  <c r="I44" i="1"/>
  <c r="F42" i="1"/>
  <c r="I41" i="1"/>
  <c r="I37" i="1" s="1"/>
  <c r="I66" i="1" s="1"/>
  <c r="L37" i="1"/>
  <c r="K37" i="1"/>
  <c r="J37" i="1"/>
  <c r="F37" i="1"/>
  <c r="K34" i="1"/>
  <c r="K48" i="1" s="1"/>
  <c r="K44" i="1" s="1"/>
  <c r="F34" i="1"/>
  <c r="F48" i="1" s="1"/>
  <c r="J31" i="1"/>
  <c r="I31" i="1"/>
  <c r="F31" i="1"/>
  <c r="L30" i="1"/>
  <c r="L29" i="1"/>
  <c r="J29" i="1"/>
  <c r="I29" i="1"/>
  <c r="K29" i="1" s="1"/>
  <c r="F29" i="1"/>
  <c r="K28" i="1"/>
  <c r="K26" i="1" s="1"/>
  <c r="K27" i="1"/>
  <c r="F27" i="1"/>
  <c r="F26" i="1" s="1"/>
  <c r="L26" i="1"/>
  <c r="J26" i="1"/>
  <c r="K25" i="1"/>
  <c r="L24" i="1"/>
  <c r="L23" i="1" s="1"/>
  <c r="L35" i="1" s="1"/>
  <c r="K24" i="1"/>
  <c r="F24" i="1"/>
  <c r="F23" i="1" s="1"/>
  <c r="K23" i="1"/>
  <c r="J23" i="1"/>
  <c r="I23" i="1"/>
  <c r="I22" i="1"/>
  <c r="F22" i="1"/>
  <c r="K20" i="1"/>
  <c r="K14" i="1"/>
  <c r="H14" i="1"/>
  <c r="J10" i="1"/>
  <c r="L8" i="1"/>
  <c r="K8" i="1"/>
  <c r="J8" i="1"/>
  <c r="J6" i="1" s="1"/>
  <c r="J35" i="1" s="1"/>
  <c r="E8" i="1"/>
  <c r="L6" i="1"/>
  <c r="K6" i="1"/>
  <c r="I6" i="1"/>
  <c r="F6" i="1"/>
  <c r="F35" i="1" s="1"/>
  <c r="I35" i="1" l="1"/>
  <c r="I68" i="1" s="1"/>
  <c r="G23" i="1"/>
  <c r="K35" i="1"/>
  <c r="G29" i="1"/>
  <c r="F44" i="1"/>
  <c r="K66" i="1"/>
  <c r="K68" i="1" s="1"/>
  <c r="G33" i="1"/>
  <c r="G12" i="1"/>
  <c r="G9" i="1"/>
  <c r="G8" i="1"/>
  <c r="G35" i="1"/>
  <c r="G13" i="1"/>
  <c r="G10" i="1"/>
  <c r="G32" i="1"/>
  <c r="G19" i="1"/>
  <c r="G11" i="1"/>
  <c r="G28" i="1"/>
  <c r="G16" i="1"/>
  <c r="G36" i="1"/>
  <c r="G25" i="1"/>
  <c r="G17" i="1"/>
  <c r="G14" i="1"/>
  <c r="G30" i="1"/>
  <c r="G22" i="1"/>
  <c r="G26" i="1"/>
  <c r="G31" i="1"/>
  <c r="L66" i="1"/>
  <c r="L68" i="1" s="1"/>
  <c r="J66" i="1"/>
  <c r="J68" i="1" s="1"/>
  <c r="G6" i="1"/>
  <c r="I26" i="1"/>
  <c r="G34" i="1"/>
  <c r="F53" i="1"/>
  <c r="F57" i="1"/>
  <c r="G24" i="1"/>
  <c r="G27" i="1"/>
  <c r="F66" i="1" l="1"/>
  <c r="G44" i="1"/>
  <c r="G57" i="1"/>
  <c r="F68" i="1" l="1"/>
  <c r="G65" i="1"/>
  <c r="G47" i="1"/>
  <c r="G43" i="1"/>
  <c r="G41" i="1"/>
  <c r="G58" i="1"/>
  <c r="G38" i="1"/>
  <c r="G66" i="1"/>
  <c r="G64" i="1"/>
  <c r="G40" i="1"/>
  <c r="G59" i="1"/>
  <c r="G54" i="1"/>
  <c r="G50" i="1"/>
  <c r="G39" i="1"/>
  <c r="G42" i="1"/>
  <c r="G48" i="1"/>
  <c r="G55" i="1"/>
  <c r="G37" i="1"/>
  <c r="G49" i="1"/>
  <c r="G45" i="1"/>
  <c r="G51" i="1"/>
  <c r="G56" i="1"/>
  <c r="G63" i="1"/>
  <c r="G52" i="1"/>
  <c r="G60" i="1"/>
  <c r="G62" i="1"/>
  <c r="G61" i="1"/>
  <c r="G53" i="1"/>
</calcChain>
</file>

<file path=xl/sharedStrings.xml><?xml version="1.0" encoding="utf-8"?>
<sst xmlns="http://schemas.openxmlformats.org/spreadsheetml/2006/main" count="100" uniqueCount="89">
  <si>
    <t>منابع و مصارف وجوه</t>
  </si>
  <si>
    <t>صندوق بازنشستگی کشوری</t>
  </si>
  <si>
    <t>مبالغ به میلیون ریال</t>
  </si>
  <si>
    <t xml:space="preserve">شــــرح </t>
  </si>
  <si>
    <t>یادداشت 
توضیحی</t>
  </si>
  <si>
    <t xml:space="preserve">    بودجه پیشنهادی سال 1400</t>
  </si>
  <si>
    <t xml:space="preserve">بودجه 1400     نسبت جزء    به کل </t>
  </si>
  <si>
    <t>برآورد عملکرد
سال 1399</t>
  </si>
  <si>
    <t>عملکرد 7ماهه 
سال 1399</t>
  </si>
  <si>
    <t>بودجه مصوب
سال 1399</t>
  </si>
  <si>
    <t>عملکرد 
سال 1398</t>
  </si>
  <si>
    <t>منابع :</t>
  </si>
  <si>
    <t xml:space="preserve">جمع اعتبار دولتی دریافتی </t>
  </si>
  <si>
    <t>اعتبار دولتی  دریافتی از محل ردیف بودجه  ای 104000</t>
  </si>
  <si>
    <t>دریافتی بابت کمک دولت در تامین پرداخت حقوق بازنشستگان وموظفین</t>
  </si>
  <si>
    <t>اجرای قانون مدیریت خدمات کشوری-تعهد دولت</t>
  </si>
  <si>
    <t>1-1-1</t>
  </si>
  <si>
    <t>حقوق بازنشستگان قبل از سال 1354-تعهد دولت</t>
  </si>
  <si>
    <t>1-1-3</t>
  </si>
  <si>
    <t xml:space="preserve">بابت همسان سازی سال 1396-تعهد دولت </t>
  </si>
  <si>
    <t>1-1-2</t>
  </si>
  <si>
    <t>بابت همسان سازی سال 1397-تعهد دولت</t>
  </si>
  <si>
    <t>بابت همسان سازی سال 1398- تعهد دولت</t>
  </si>
  <si>
    <t>بابت همسان سازی سال 1399-تعهد دولت</t>
  </si>
  <si>
    <t>کسر میشود: واگذاری سهام از محل بند(و) تبصره(2) قانون بودجه1399</t>
  </si>
  <si>
    <t>*</t>
  </si>
  <si>
    <t xml:space="preserve">اعتبار حق عائله واولاد وعیدی و... بازنشستگان وموظفین-تعهد دولت </t>
  </si>
  <si>
    <t>افزایش50% حق عائله واولاد بازنشستگان ازمحل تا ده درصد افزایش قانونی اعتبار</t>
  </si>
  <si>
    <t>بابت همسان سازی سال 1399از محل ردیف متفرقه  21-550000</t>
  </si>
  <si>
    <t>واگذاری سهام موضوع بند(و) تبصره(2) قانون بودجه1400</t>
  </si>
  <si>
    <t>تا ده درصد افزایش قانونی-تعهد دولت</t>
  </si>
  <si>
    <t>کسری پرداخت حقوق- ماده100ق ا ک-تعهددولت</t>
  </si>
  <si>
    <t xml:space="preserve">اعتبار دولتی - بیمه مکمل درمان سهم دولت </t>
  </si>
  <si>
    <t xml:space="preserve">جمع کسور بازنشستگی  </t>
  </si>
  <si>
    <t xml:space="preserve">کسور بازنشستگی </t>
  </si>
  <si>
    <t>مقرری ماه اول</t>
  </si>
  <si>
    <t xml:space="preserve">جمع سایر منابع مالی   </t>
  </si>
  <si>
    <t xml:space="preserve">دریافت بابت بیمه عمر و حادثه </t>
  </si>
  <si>
    <t>انتقال کسور از سایر صندوقها</t>
  </si>
  <si>
    <t>درآمد حاصل از سرمایه گذاریها</t>
  </si>
  <si>
    <t xml:space="preserve">مطالبات معوق سود سهام شرکتها منظور درافزایش سرمایه شرکتها </t>
  </si>
  <si>
    <t>9- 1</t>
  </si>
  <si>
    <t>از محل فروش سهام</t>
  </si>
  <si>
    <t>دریافتی از محل خط اعتباری</t>
  </si>
  <si>
    <t>مازاد وصولی</t>
  </si>
  <si>
    <t>بیمه مکمل درمان سهم بازنشسته</t>
  </si>
  <si>
    <t xml:space="preserve">جمع منابع </t>
  </si>
  <si>
    <t>مصارف :</t>
  </si>
  <si>
    <t>تعهدات قانونی :</t>
  </si>
  <si>
    <t>هزینه حقوق بازنشستگان و موظفین</t>
  </si>
  <si>
    <t>1-1</t>
  </si>
  <si>
    <t>همسان سازی حقوق بازنشستگی  سالهای قبل</t>
  </si>
  <si>
    <t xml:space="preserve">همسان سازی حقوق بازنشستگی- سال جاری </t>
  </si>
  <si>
    <t>همسان سازی حقوق بازنشستگی- سال جاری -اجرا از مهر ماه</t>
  </si>
  <si>
    <t>پرداخت بابت عائله مندی و اولاد و عیدی</t>
  </si>
  <si>
    <t>استرداد کسور- انتقال کسور-اشتباه واریزی</t>
  </si>
  <si>
    <t xml:space="preserve">هزینه بیمه مکمل درمان بازنشستگان و موظفین </t>
  </si>
  <si>
    <t>بیمه مکمل درمان سهم صندوق</t>
  </si>
  <si>
    <t xml:space="preserve">بیمه تکمیلی درمان </t>
  </si>
  <si>
    <t>کمک هزینه عصا ، عینک ، سمعک و...</t>
  </si>
  <si>
    <t>---</t>
  </si>
  <si>
    <t>بیمه مکمل درمان سهم دولت</t>
  </si>
  <si>
    <t xml:space="preserve">هزینه های مالی </t>
  </si>
  <si>
    <t xml:space="preserve">هزینه مالی-اقساط (اصل و سود ) پرداختی بابت خط اعتباری دریافتی </t>
  </si>
  <si>
    <t xml:space="preserve">سایر هزینه رفاهی بازنشستگان و موظفین  : </t>
  </si>
  <si>
    <t xml:space="preserve">سایر هزینه های رفاهی بازنشستگان و موظفین </t>
  </si>
  <si>
    <t>10</t>
  </si>
  <si>
    <t xml:space="preserve">هزینه اداره طرح : </t>
  </si>
  <si>
    <t xml:space="preserve">هزینه های پرسنلی </t>
  </si>
  <si>
    <t>8-1</t>
  </si>
  <si>
    <t>هزینه تعمیر و نگهداری</t>
  </si>
  <si>
    <t>8-2</t>
  </si>
  <si>
    <t xml:space="preserve">هزینه های عمومی و اداری </t>
  </si>
  <si>
    <t>8-3</t>
  </si>
  <si>
    <t xml:space="preserve">پرداختهای سرمایه ای </t>
  </si>
  <si>
    <t xml:space="preserve">پرداخت بابت سرمایه گذاری </t>
  </si>
  <si>
    <t>9-1</t>
  </si>
  <si>
    <t xml:space="preserve">زمین ، ساختمان و تاسیسات </t>
  </si>
  <si>
    <t>9-2</t>
  </si>
  <si>
    <t xml:space="preserve">اثاثیه اداری و وسائط نقلیه </t>
  </si>
  <si>
    <t>9-3</t>
  </si>
  <si>
    <t>خانه فرهنگ امید</t>
  </si>
  <si>
    <t>9-4</t>
  </si>
  <si>
    <t>سایر:</t>
  </si>
  <si>
    <t xml:space="preserve">پرداخت غرامت فوت </t>
  </si>
  <si>
    <t xml:space="preserve">وجوه اداره شده </t>
  </si>
  <si>
    <t xml:space="preserve">پرداخت بدهیها </t>
  </si>
  <si>
    <t xml:space="preserve">جمع مصارف </t>
  </si>
  <si>
    <t xml:space="preserve">کسر ی تامین منا بع مالی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</si>
</sst>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charset val="178"/>
    </font>
    <font>
      <b/>
      <sz val="14"/>
      <color rgb="FF000000"/>
      <name val="B Titr"/>
      <charset val="178"/>
    </font>
    <font>
      <b/>
      <sz val="10"/>
      <color rgb="FF000000"/>
      <name val="B Titr"/>
      <charset val="178"/>
    </font>
    <font>
      <b/>
      <sz val="12"/>
      <color rgb="FF000000"/>
      <name val="B Titr"/>
      <charset val="178"/>
    </font>
    <font>
      <sz val="12"/>
      <color rgb="FF000000"/>
      <name val="B Titr"/>
      <charset val="178"/>
    </font>
    <font>
      <b/>
      <sz val="20"/>
      <color rgb="FF00B050"/>
      <name val="B Zar"/>
      <charset val="178"/>
    </font>
    <font>
      <sz val="14"/>
      <color rgb="FFFF0000"/>
      <name val="B Zar"/>
      <charset val="178"/>
    </font>
    <font>
      <b/>
      <sz val="14"/>
      <color rgb="FF000000"/>
      <name val="B Zar"/>
      <charset val="178"/>
    </font>
    <font>
      <sz val="12"/>
      <color rgb="FF000000"/>
      <name val="B Zar"/>
      <charset val="178"/>
    </font>
    <font>
      <sz val="16"/>
      <color rgb="FF000000"/>
      <name val="B Zar"/>
      <charset val="178"/>
    </font>
    <font>
      <sz val="18"/>
      <color rgb="FF000000"/>
      <name val="B Zar"/>
      <charset val="178"/>
    </font>
    <font>
      <sz val="14"/>
      <color rgb="FF000000"/>
      <name val="B Zar"/>
      <charset val="178"/>
    </font>
    <font>
      <sz val="18"/>
      <color rgb="FF000000"/>
      <name val="Arial"/>
      <family val="2"/>
      <charset val="178"/>
    </font>
    <font>
      <b/>
      <sz val="16"/>
      <color rgb="FF000000"/>
      <name val="B Zar"/>
      <charset val="178"/>
    </font>
    <font>
      <sz val="16"/>
      <name val="B Zar"/>
      <charset val="178"/>
    </font>
    <font>
      <sz val="18"/>
      <name val="B Zar"/>
      <charset val="178"/>
    </font>
    <font>
      <sz val="18"/>
      <color rgb="FFFF0000"/>
      <name val="B Zar"/>
      <charset val="178"/>
    </font>
    <font>
      <sz val="16"/>
      <color rgb="FF000000"/>
      <name val="Arial"/>
      <family val="2"/>
      <charset val="178"/>
    </font>
    <font>
      <b/>
      <sz val="14"/>
      <color rgb="FFFF0000"/>
      <name val="B Zar"/>
      <charset val="178"/>
    </font>
    <font>
      <b/>
      <sz val="12"/>
      <color rgb="FFFF0000"/>
      <name val="B Zar"/>
      <charset val="178"/>
    </font>
    <font>
      <b/>
      <sz val="16"/>
      <color rgb="FFFF0000"/>
      <name val="B Zar"/>
      <charset val="178"/>
    </font>
    <font>
      <b/>
      <sz val="12"/>
      <color rgb="FF000000"/>
      <name val="Arial"/>
      <family val="2"/>
    </font>
    <font>
      <b/>
      <sz val="20"/>
      <color rgb="FF000000"/>
      <name val="B Nazanin"/>
      <charset val="178"/>
    </font>
    <font>
      <b/>
      <sz val="24"/>
      <color rgb="FF000000"/>
      <name val="B Nazanin"/>
      <charset val="178"/>
    </font>
  </fonts>
  <fills count="7">
    <fill>
      <patternFill patternType="none"/>
    </fill>
    <fill>
      <patternFill patternType="gray125"/>
    </fill>
    <fill>
      <patternFill patternType="solid">
        <fgColor rgb="FFABFFBF"/>
        <bgColor rgb="FF9BFD59"/>
      </patternFill>
    </fill>
    <fill>
      <patternFill patternType="solid">
        <fgColor rgb="FFB4F0FE"/>
        <bgColor rgb="FF000000"/>
      </patternFill>
    </fill>
    <fill>
      <patternFill patternType="solid">
        <fgColor rgb="FFA6A6A6"/>
        <bgColor rgb="FF000000"/>
      </patternFill>
    </fill>
    <fill>
      <patternFill patternType="solid">
        <fgColor rgb="FFABFFBF"/>
        <bgColor rgb="FF000000"/>
      </patternFill>
    </fill>
    <fill>
      <patternFill patternType="solid">
        <fgColor rgb="FFFFFFFF"/>
        <bgColor rgb="FF000000"/>
      </patternFill>
    </fill>
  </fills>
  <borders count="5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0">
    <xf numFmtId="0" fontId="0" fillId="0" borderId="0" xfId="0"/>
    <xf numFmtId="0" fontId="1" fillId="0" borderId="0" xfId="0" applyFont="1" applyFill="1" applyBorder="1" applyAlignment="1">
      <alignment horizontal="right" vertical="center" indent="1"/>
    </xf>
    <xf numFmtId="0" fontId="1" fillId="0" borderId="0" xfId="0" applyFont="1" applyFill="1" applyBorder="1" applyAlignment="1"/>
    <xf numFmtId="0" fontId="2" fillId="0" borderId="1" xfId="0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right" vertical="center" indent="1"/>
    </xf>
    <xf numFmtId="0" fontId="4" fillId="2" borderId="3" xfId="0" applyFont="1" applyFill="1" applyBorder="1" applyAlignment="1">
      <alignment horizontal="right" vertical="center" indent="1"/>
    </xf>
    <xf numFmtId="0" fontId="5" fillId="2" borderId="3" xfId="0" applyFont="1" applyFill="1" applyBorder="1" applyAlignment="1">
      <alignment horizontal="right" vertical="center" inden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right" vertical="center" indent="1"/>
    </xf>
    <xf numFmtId="0" fontId="5" fillId="2" borderId="1" xfId="0" applyFont="1" applyFill="1" applyBorder="1" applyAlignment="1">
      <alignment horizontal="right" vertical="center" indent="1"/>
    </xf>
    <xf numFmtId="0" fontId="5" fillId="2" borderId="7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right" vertical="center" indent="1"/>
    </xf>
    <xf numFmtId="0" fontId="7" fillId="0" borderId="3" xfId="0" applyFont="1" applyFill="1" applyBorder="1" applyAlignment="1">
      <alignment horizontal="center" vertical="center"/>
    </xf>
    <xf numFmtId="3" fontId="7" fillId="0" borderId="3" xfId="0" applyNumberFormat="1" applyFont="1" applyFill="1" applyBorder="1" applyAlignment="1">
      <alignment horizontal="center" vertical="center"/>
    </xf>
    <xf numFmtId="3" fontId="7" fillId="0" borderId="5" xfId="0" applyNumberFormat="1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right" vertical="center" indent="1"/>
    </xf>
    <xf numFmtId="0" fontId="8" fillId="3" borderId="10" xfId="0" applyFont="1" applyFill="1" applyBorder="1" applyAlignment="1">
      <alignment horizontal="right" vertical="center" indent="1"/>
    </xf>
    <xf numFmtId="0" fontId="9" fillId="3" borderId="10" xfId="0" applyFont="1" applyFill="1" applyBorder="1" applyAlignment="1">
      <alignment horizontal="right" vertical="center" indent="1"/>
    </xf>
    <xf numFmtId="0" fontId="10" fillId="3" borderId="11" xfId="0" applyFont="1" applyFill="1" applyBorder="1" applyAlignment="1">
      <alignment horizontal="center" vertical="center"/>
    </xf>
    <xf numFmtId="0" fontId="10" fillId="3" borderId="9" xfId="0" applyFont="1" applyFill="1" applyBorder="1" applyAlignment="1">
      <alignment horizontal="center" vertical="center"/>
    </xf>
    <xf numFmtId="3" fontId="11" fillId="3" borderId="12" xfId="0" applyNumberFormat="1" applyFont="1" applyFill="1" applyBorder="1" applyAlignment="1">
      <alignment horizontal="right" vertical="center"/>
    </xf>
    <xf numFmtId="3" fontId="11" fillId="3" borderId="12" xfId="0" applyNumberFormat="1" applyFont="1" applyFill="1" applyBorder="1" applyAlignment="1">
      <alignment horizontal="center" vertical="center"/>
    </xf>
    <xf numFmtId="3" fontId="11" fillId="3" borderId="9" xfId="0" applyNumberFormat="1" applyFont="1" applyFill="1" applyBorder="1" applyAlignment="1">
      <alignment horizontal="center" vertical="center"/>
    </xf>
    <xf numFmtId="3" fontId="11" fillId="3" borderId="11" xfId="0" applyNumberFormat="1" applyFont="1" applyFill="1" applyBorder="1" applyAlignment="1">
      <alignment horizontal="right" vertical="center"/>
    </xf>
    <xf numFmtId="0" fontId="8" fillId="0" borderId="13" xfId="0" applyFont="1" applyFill="1" applyBorder="1" applyAlignment="1">
      <alignment horizontal="right" vertical="center" indent="1"/>
    </xf>
    <xf numFmtId="0" fontId="9" fillId="0" borderId="13" xfId="0" applyFont="1" applyFill="1" applyBorder="1" applyAlignment="1">
      <alignment horizontal="right" vertical="center" indent="1"/>
    </xf>
    <xf numFmtId="0" fontId="10" fillId="0" borderId="14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3" fontId="11" fillId="0" borderId="5" xfId="0" applyNumberFormat="1" applyFont="1" applyFill="1" applyBorder="1" applyAlignment="1">
      <alignment horizontal="right" vertical="center"/>
    </xf>
    <xf numFmtId="3" fontId="11" fillId="0" borderId="5" xfId="0" applyNumberFormat="1" applyFont="1" applyFill="1" applyBorder="1" applyAlignment="1">
      <alignment horizontal="center" vertical="center"/>
    </xf>
    <xf numFmtId="3" fontId="11" fillId="0" borderId="15" xfId="0" applyNumberFormat="1" applyFont="1" applyFill="1" applyBorder="1" applyAlignment="1">
      <alignment horizontal="center" vertical="center"/>
    </xf>
    <xf numFmtId="3" fontId="11" fillId="0" borderId="14" xfId="0" applyNumberFormat="1" applyFont="1" applyFill="1" applyBorder="1" applyAlignment="1">
      <alignment horizontal="right" vertical="center"/>
    </xf>
    <xf numFmtId="3" fontId="11" fillId="0" borderId="4" xfId="0" applyNumberFormat="1" applyFont="1" applyFill="1" applyBorder="1" applyAlignment="1">
      <alignment horizontal="right" vertical="center"/>
    </xf>
    <xf numFmtId="3" fontId="11" fillId="0" borderId="16" xfId="0" applyNumberFormat="1" applyFont="1" applyFill="1" applyBorder="1" applyAlignment="1">
      <alignment horizontal="right" vertical="center"/>
    </xf>
    <xf numFmtId="0" fontId="8" fillId="0" borderId="15" xfId="0" applyFont="1" applyFill="1" applyBorder="1" applyAlignment="1">
      <alignment horizontal="right" vertical="center" indent="1"/>
    </xf>
    <xf numFmtId="0" fontId="9" fillId="0" borderId="17" xfId="0" applyFont="1" applyFill="1" applyBorder="1" applyAlignment="1">
      <alignment horizontal="right" vertical="center" indent="1"/>
    </xf>
    <xf numFmtId="0" fontId="10" fillId="0" borderId="18" xfId="0" applyFont="1" applyFill="1" applyBorder="1" applyAlignment="1">
      <alignment horizontal="center" vertical="center"/>
    </xf>
    <xf numFmtId="3" fontId="12" fillId="0" borderId="15" xfId="0" applyNumberFormat="1" applyFont="1" applyFill="1" applyBorder="1" applyAlignment="1">
      <alignment horizontal="right" vertical="center"/>
    </xf>
    <xf numFmtId="0" fontId="1" fillId="0" borderId="16" xfId="0" applyFont="1" applyFill="1" applyBorder="1" applyAlignment="1">
      <alignment horizontal="right" vertical="center"/>
    </xf>
    <xf numFmtId="3" fontId="11" fillId="0" borderId="19" xfId="0" applyNumberFormat="1" applyFont="1" applyFill="1" applyBorder="1" applyAlignment="1">
      <alignment horizontal="center" vertical="center"/>
    </xf>
    <xf numFmtId="3" fontId="12" fillId="0" borderId="18" xfId="0" applyNumberFormat="1" applyFont="1" applyFill="1" applyBorder="1" applyAlignment="1">
      <alignment horizontal="right" vertical="center"/>
    </xf>
    <xf numFmtId="3" fontId="12" fillId="0" borderId="20" xfId="0" applyNumberFormat="1" applyFont="1" applyFill="1" applyBorder="1" applyAlignment="1">
      <alignment horizontal="right" vertical="center"/>
    </xf>
    <xf numFmtId="0" fontId="9" fillId="0" borderId="21" xfId="0" applyFont="1" applyFill="1" applyBorder="1" applyAlignment="1">
      <alignment horizontal="right" vertical="center" indent="1"/>
    </xf>
    <xf numFmtId="49" fontId="10" fillId="0" borderId="22" xfId="0" applyNumberFormat="1" applyFont="1" applyFill="1" applyBorder="1" applyAlignment="1">
      <alignment horizontal="center" vertical="center"/>
    </xf>
    <xf numFmtId="3" fontId="13" fillId="0" borderId="23" xfId="0" applyNumberFormat="1" applyFont="1" applyFill="1" applyBorder="1" applyAlignment="1">
      <alignment horizontal="center" vertical="center"/>
    </xf>
    <xf numFmtId="3" fontId="12" fillId="0" borderId="22" xfId="0" applyNumberFormat="1" applyFont="1" applyFill="1" applyBorder="1" applyAlignment="1">
      <alignment horizontal="right" vertical="center"/>
    </xf>
    <xf numFmtId="3" fontId="12" fillId="0" borderId="24" xfId="0" applyNumberFormat="1" applyFont="1" applyFill="1" applyBorder="1" applyAlignment="1">
      <alignment horizontal="right" vertical="center"/>
    </xf>
    <xf numFmtId="0" fontId="9" fillId="0" borderId="25" xfId="0" applyFont="1" applyFill="1" applyBorder="1" applyAlignment="1">
      <alignment horizontal="right" vertical="center" indent="1"/>
    </xf>
    <xf numFmtId="49" fontId="10" fillId="0" borderId="26" xfId="0" applyNumberFormat="1" applyFont="1" applyFill="1" applyBorder="1" applyAlignment="1">
      <alignment horizontal="center" vertical="center"/>
    </xf>
    <xf numFmtId="3" fontId="13" fillId="0" borderId="27" xfId="0" applyNumberFormat="1" applyFont="1" applyFill="1" applyBorder="1" applyAlignment="1">
      <alignment horizontal="center" vertical="center"/>
    </xf>
    <xf numFmtId="3" fontId="12" fillId="0" borderId="26" xfId="0" applyNumberFormat="1" applyFont="1" applyFill="1" applyBorder="1" applyAlignment="1">
      <alignment horizontal="right" vertical="center"/>
    </xf>
    <xf numFmtId="3" fontId="12" fillId="0" borderId="28" xfId="0" applyNumberFormat="1" applyFont="1" applyFill="1" applyBorder="1" applyAlignment="1">
      <alignment horizontal="right" vertical="center"/>
    </xf>
    <xf numFmtId="49" fontId="14" fillId="0" borderId="18" xfId="0" applyNumberFormat="1" applyFont="1" applyFill="1" applyBorder="1" applyAlignment="1">
      <alignment horizontal="center" vertical="center"/>
    </xf>
    <xf numFmtId="3" fontId="13" fillId="0" borderId="29" xfId="0" applyNumberFormat="1" applyFont="1" applyFill="1" applyBorder="1" applyAlignment="1">
      <alignment horizontal="center" vertical="center"/>
    </xf>
    <xf numFmtId="0" fontId="12" fillId="0" borderId="30" xfId="0" applyFont="1" applyFill="1" applyBorder="1" applyAlignment="1">
      <alignment horizontal="right" vertical="center" indent="1"/>
    </xf>
    <xf numFmtId="0" fontId="9" fillId="0" borderId="31" xfId="0" applyFont="1" applyFill="1" applyBorder="1" applyAlignment="1">
      <alignment horizontal="right" vertical="center" indent="1"/>
    </xf>
    <xf numFmtId="0" fontId="10" fillId="0" borderId="32" xfId="0" applyFont="1" applyFill="1" applyBorder="1" applyAlignment="1">
      <alignment horizontal="center" vertical="center"/>
    </xf>
    <xf numFmtId="3" fontId="12" fillId="0" borderId="30" xfId="0" applyNumberFormat="1" applyFont="1" applyFill="1" applyBorder="1" applyAlignment="1">
      <alignment horizontal="right" vertical="center"/>
    </xf>
    <xf numFmtId="0" fontId="1" fillId="0" borderId="33" xfId="0" applyFont="1" applyFill="1" applyBorder="1" applyAlignment="1">
      <alignment horizontal="right" vertical="center"/>
    </xf>
    <xf numFmtId="3" fontId="13" fillId="0" borderId="34" xfId="0" applyNumberFormat="1" applyFont="1" applyFill="1" applyBorder="1" applyAlignment="1">
      <alignment horizontal="center" vertical="center"/>
    </xf>
    <xf numFmtId="3" fontId="12" fillId="0" borderId="32" xfId="0" applyNumberFormat="1" applyFont="1" applyFill="1" applyBorder="1" applyAlignment="1">
      <alignment horizontal="right" vertical="center"/>
    </xf>
    <xf numFmtId="3" fontId="12" fillId="0" borderId="35" xfId="0" applyNumberFormat="1" applyFont="1" applyFill="1" applyBorder="1" applyAlignment="1">
      <alignment horizontal="right" vertical="center"/>
    </xf>
    <xf numFmtId="0" fontId="12" fillId="0" borderId="36" xfId="0" applyFont="1" applyFill="1" applyBorder="1" applyAlignment="1">
      <alignment horizontal="right" vertical="center" indent="1"/>
    </xf>
    <xf numFmtId="0" fontId="12" fillId="0" borderId="37" xfId="0" applyFont="1" applyFill="1" applyBorder="1" applyAlignment="1">
      <alignment horizontal="right" vertical="center" indent="1"/>
    </xf>
    <xf numFmtId="0" fontId="9" fillId="0" borderId="38" xfId="0" applyFont="1" applyFill="1" applyBorder="1" applyAlignment="1">
      <alignment horizontal="right" vertical="center" indent="1"/>
    </xf>
    <xf numFmtId="0" fontId="10" fillId="0" borderId="39" xfId="0" applyFont="1" applyFill="1" applyBorder="1" applyAlignment="1">
      <alignment horizontal="center" vertical="center"/>
    </xf>
    <xf numFmtId="0" fontId="10" fillId="4" borderId="40" xfId="0" applyFont="1" applyFill="1" applyBorder="1" applyAlignment="1">
      <alignment horizontal="center" vertical="center"/>
    </xf>
    <xf numFmtId="3" fontId="11" fillId="4" borderId="38" xfId="0" applyNumberFormat="1" applyFont="1" applyFill="1" applyBorder="1" applyAlignment="1">
      <alignment horizontal="right" vertical="center"/>
    </xf>
    <xf numFmtId="3" fontId="11" fillId="4" borderId="38" xfId="0" applyNumberFormat="1" applyFont="1" applyFill="1" applyBorder="1" applyAlignment="1">
      <alignment horizontal="center" vertical="center"/>
    </xf>
    <xf numFmtId="3" fontId="11" fillId="0" borderId="37" xfId="0" applyNumberFormat="1" applyFont="1" applyFill="1" applyBorder="1" applyAlignment="1">
      <alignment horizontal="center" vertical="center"/>
    </xf>
    <xf numFmtId="3" fontId="11" fillId="0" borderId="38" xfId="0" applyNumberFormat="1" applyFont="1" applyFill="1" applyBorder="1" applyAlignment="1">
      <alignment horizontal="right" vertical="center"/>
    </xf>
    <xf numFmtId="3" fontId="11" fillId="0" borderId="39" xfId="0" applyNumberFormat="1" applyFont="1" applyFill="1" applyBorder="1" applyAlignment="1">
      <alignment horizontal="right" vertical="center"/>
    </xf>
    <xf numFmtId="0" fontId="12" fillId="0" borderId="41" xfId="0" applyFont="1" applyFill="1" applyBorder="1" applyAlignment="1">
      <alignment horizontal="right" vertical="center" indent="1"/>
    </xf>
    <xf numFmtId="0" fontId="12" fillId="0" borderId="42" xfId="0" applyFont="1" applyFill="1" applyBorder="1" applyAlignment="1">
      <alignment horizontal="right" vertical="center" indent="1"/>
    </xf>
    <xf numFmtId="0" fontId="9" fillId="0" borderId="42" xfId="0" applyFont="1" applyFill="1" applyBorder="1" applyAlignment="1">
      <alignment horizontal="right" vertical="center" indent="1" shrinkToFit="1"/>
    </xf>
    <xf numFmtId="0" fontId="10" fillId="0" borderId="43" xfId="0" applyFont="1" applyFill="1" applyBorder="1" applyAlignment="1">
      <alignment horizontal="center" vertical="center"/>
    </xf>
    <xf numFmtId="0" fontId="10" fillId="0" borderId="44" xfId="0" applyFont="1" applyFill="1" applyBorder="1" applyAlignment="1">
      <alignment horizontal="center" vertical="center"/>
    </xf>
    <xf numFmtId="3" fontId="11" fillId="0" borderId="42" xfId="0" applyNumberFormat="1" applyFont="1" applyFill="1" applyBorder="1" applyAlignment="1">
      <alignment horizontal="right" vertical="center"/>
    </xf>
    <xf numFmtId="3" fontId="11" fillId="4" borderId="42" xfId="0" applyNumberFormat="1" applyFont="1" applyFill="1" applyBorder="1" applyAlignment="1">
      <alignment horizontal="center" vertical="center"/>
    </xf>
    <xf numFmtId="3" fontId="11" fillId="0" borderId="45" xfId="0" applyNumberFormat="1" applyFont="1" applyFill="1" applyBorder="1" applyAlignment="1">
      <alignment horizontal="center" vertical="center"/>
    </xf>
    <xf numFmtId="3" fontId="11" fillId="0" borderId="43" xfId="0" applyNumberFormat="1" applyFont="1" applyFill="1" applyBorder="1" applyAlignment="1">
      <alignment horizontal="right" vertical="center"/>
    </xf>
    <xf numFmtId="3" fontId="11" fillId="0" borderId="46" xfId="0" applyNumberFormat="1" applyFont="1" applyFill="1" applyBorder="1" applyAlignment="1">
      <alignment horizontal="right" vertical="center"/>
    </xf>
    <xf numFmtId="0" fontId="12" fillId="0" borderId="44" xfId="0" applyFont="1" applyFill="1" applyBorder="1" applyAlignment="1">
      <alignment horizontal="right" vertical="center" indent="1"/>
    </xf>
    <xf numFmtId="0" fontId="12" fillId="0" borderId="45" xfId="0" applyFont="1" applyFill="1" applyBorder="1" applyAlignment="1">
      <alignment horizontal="right" vertical="center" indent="1"/>
    </xf>
    <xf numFmtId="0" fontId="14" fillId="0" borderId="43" xfId="0" applyFont="1" applyFill="1" applyBorder="1" applyAlignment="1">
      <alignment horizontal="center" vertical="center"/>
    </xf>
    <xf numFmtId="0" fontId="14" fillId="0" borderId="44" xfId="0" applyFont="1" applyFill="1" applyBorder="1" applyAlignment="1">
      <alignment horizontal="center" vertical="center"/>
    </xf>
    <xf numFmtId="3" fontId="11" fillId="0" borderId="42" xfId="0" applyNumberFormat="1" applyFont="1" applyFill="1" applyBorder="1" applyAlignment="1">
      <alignment horizontal="center" vertical="center"/>
    </xf>
    <xf numFmtId="0" fontId="12" fillId="0" borderId="47" xfId="0" applyFont="1" applyFill="1" applyBorder="1" applyAlignment="1">
      <alignment horizontal="right" vertical="center" indent="1"/>
    </xf>
    <xf numFmtId="0" fontId="10" fillId="0" borderId="40" xfId="0" applyFont="1" applyFill="1" applyBorder="1" applyAlignment="1">
      <alignment horizontal="center" vertical="center"/>
    </xf>
    <xf numFmtId="3" fontId="11" fillId="0" borderId="38" xfId="0" applyNumberFormat="1" applyFont="1" applyFill="1" applyBorder="1" applyAlignment="1">
      <alignment horizontal="center" vertical="center"/>
    </xf>
    <xf numFmtId="0" fontId="12" fillId="0" borderId="48" xfId="0" applyFont="1" applyFill="1" applyBorder="1" applyAlignment="1">
      <alignment horizontal="right" vertical="center" indent="1"/>
    </xf>
    <xf numFmtId="0" fontId="12" fillId="0" borderId="49" xfId="0" applyFont="1" applyFill="1" applyBorder="1" applyAlignment="1">
      <alignment horizontal="right" vertical="center" indent="1"/>
    </xf>
    <xf numFmtId="0" fontId="12" fillId="0" borderId="50" xfId="0" applyFont="1" applyFill="1" applyBorder="1" applyAlignment="1">
      <alignment horizontal="right" vertical="center" indent="1"/>
    </xf>
    <xf numFmtId="0" fontId="10" fillId="0" borderId="51" xfId="0" applyFont="1" applyFill="1" applyBorder="1" applyAlignment="1">
      <alignment horizontal="center" vertical="center"/>
    </xf>
    <xf numFmtId="0" fontId="10" fillId="0" borderId="48" xfId="0" applyFont="1" applyFill="1" applyBorder="1" applyAlignment="1">
      <alignment horizontal="center" vertical="center"/>
    </xf>
    <xf numFmtId="3" fontId="11" fillId="0" borderId="50" xfId="0" applyNumberFormat="1" applyFont="1" applyFill="1" applyBorder="1" applyAlignment="1">
      <alignment horizontal="right" vertical="center"/>
    </xf>
    <xf numFmtId="3" fontId="11" fillId="0" borderId="50" xfId="0" applyNumberFormat="1" applyFont="1" applyFill="1" applyBorder="1" applyAlignment="1">
      <alignment horizontal="center" vertical="center"/>
    </xf>
    <xf numFmtId="3" fontId="11" fillId="0" borderId="49" xfId="0" applyNumberFormat="1" applyFont="1" applyFill="1" applyBorder="1" applyAlignment="1">
      <alignment horizontal="center" vertical="center"/>
    </xf>
    <xf numFmtId="3" fontId="11" fillId="0" borderId="51" xfId="0" applyNumberFormat="1" applyFont="1" applyFill="1" applyBorder="1" applyAlignment="1">
      <alignment horizontal="right" vertical="center"/>
    </xf>
    <xf numFmtId="0" fontId="8" fillId="3" borderId="9" xfId="0" applyFont="1" applyFill="1" applyBorder="1" applyAlignment="1">
      <alignment horizontal="right" vertical="center" indent="1"/>
    </xf>
    <xf numFmtId="0" fontId="8" fillId="3" borderId="10" xfId="0" applyFont="1" applyFill="1" applyBorder="1" applyAlignment="1">
      <alignment horizontal="right" vertical="center" indent="1"/>
    </xf>
    <xf numFmtId="3" fontId="11" fillId="3" borderId="10" xfId="0" applyNumberFormat="1" applyFont="1" applyFill="1" applyBorder="1" applyAlignment="1">
      <alignment horizontal="center" vertical="center"/>
    </xf>
    <xf numFmtId="0" fontId="12" fillId="0" borderId="30" xfId="0" applyFont="1" applyFill="1" applyBorder="1" applyAlignment="1">
      <alignment horizontal="right" vertical="center" indent="1"/>
    </xf>
    <xf numFmtId="0" fontId="12" fillId="0" borderId="52" xfId="0" applyFont="1" applyFill="1" applyBorder="1" applyAlignment="1">
      <alignment horizontal="right" vertical="center" indent="1"/>
    </xf>
    <xf numFmtId="0" fontId="10" fillId="0" borderId="46" xfId="0" applyFont="1" applyFill="1" applyBorder="1" applyAlignment="1">
      <alignment horizontal="center" vertical="center"/>
    </xf>
    <xf numFmtId="0" fontId="10" fillId="0" borderId="30" xfId="0" applyFont="1" applyFill="1" applyBorder="1" applyAlignment="1">
      <alignment horizontal="center" vertical="center"/>
    </xf>
    <xf numFmtId="3" fontId="11" fillId="0" borderId="33" xfId="0" applyNumberFormat="1" applyFont="1" applyFill="1" applyBorder="1" applyAlignment="1">
      <alignment horizontal="right" vertical="center"/>
    </xf>
    <xf numFmtId="3" fontId="11" fillId="0" borderId="33" xfId="0" applyNumberFormat="1" applyFont="1" applyFill="1" applyBorder="1" applyAlignment="1">
      <alignment horizontal="center" vertical="center"/>
    </xf>
    <xf numFmtId="3" fontId="11" fillId="0" borderId="52" xfId="0" applyNumberFormat="1" applyFont="1" applyFill="1" applyBorder="1" applyAlignment="1">
      <alignment horizontal="center" vertical="center"/>
    </xf>
    <xf numFmtId="0" fontId="12" fillId="0" borderId="44" xfId="0" applyFont="1" applyFill="1" applyBorder="1" applyAlignment="1">
      <alignment horizontal="right" vertical="center" indent="1"/>
    </xf>
    <xf numFmtId="0" fontId="12" fillId="0" borderId="45" xfId="0" applyFont="1" applyFill="1" applyBorder="1" applyAlignment="1">
      <alignment horizontal="right" vertical="center" indent="1"/>
    </xf>
    <xf numFmtId="0" fontId="12" fillId="0" borderId="53" xfId="0" applyFont="1" applyFill="1" applyBorder="1" applyAlignment="1">
      <alignment horizontal="right" vertical="center" indent="1"/>
    </xf>
    <xf numFmtId="0" fontId="12" fillId="0" borderId="54" xfId="0" applyFont="1" applyFill="1" applyBorder="1" applyAlignment="1">
      <alignment horizontal="right" vertical="center" indent="1"/>
    </xf>
    <xf numFmtId="0" fontId="12" fillId="0" borderId="55" xfId="0" applyFont="1" applyFill="1" applyBorder="1" applyAlignment="1">
      <alignment horizontal="right" vertical="center" indent="1"/>
    </xf>
    <xf numFmtId="0" fontId="12" fillId="0" borderId="40" xfId="0" applyFont="1" applyFill="1" applyBorder="1" applyAlignment="1">
      <alignment horizontal="right" vertical="center" indent="1"/>
    </xf>
    <xf numFmtId="0" fontId="12" fillId="0" borderId="37" xfId="0" applyFont="1" applyFill="1" applyBorder="1" applyAlignment="1">
      <alignment horizontal="right" vertical="center" indent="1"/>
    </xf>
    <xf numFmtId="0" fontId="12" fillId="0" borderId="38" xfId="0" applyFont="1" applyFill="1" applyBorder="1" applyAlignment="1">
      <alignment horizontal="right" vertical="center" indent="1"/>
    </xf>
    <xf numFmtId="0" fontId="12" fillId="0" borderId="40" xfId="0" applyFont="1" applyFill="1" applyBorder="1" applyAlignment="1">
      <alignment horizontal="right" vertical="center" indent="1"/>
    </xf>
    <xf numFmtId="49" fontId="10" fillId="0" borderId="43" xfId="0" applyNumberFormat="1" applyFont="1" applyFill="1" applyBorder="1" applyAlignment="1">
      <alignment horizontal="center" vertical="center"/>
    </xf>
    <xf numFmtId="49" fontId="10" fillId="0" borderId="44" xfId="0" applyNumberFormat="1" applyFont="1" applyFill="1" applyBorder="1" applyAlignment="1">
      <alignment horizontal="center" vertical="center"/>
    </xf>
    <xf numFmtId="0" fontId="8" fillId="5" borderId="9" xfId="0" applyFont="1" applyFill="1" applyBorder="1" applyAlignment="1">
      <alignment horizontal="right" vertical="center" indent="1"/>
    </xf>
    <xf numFmtId="0" fontId="8" fillId="5" borderId="10" xfId="0" applyFont="1" applyFill="1" applyBorder="1" applyAlignment="1">
      <alignment horizontal="right" vertical="center" indent="1"/>
    </xf>
    <xf numFmtId="0" fontId="15" fillId="5" borderId="11" xfId="0" applyFont="1" applyFill="1" applyBorder="1" applyAlignment="1">
      <alignment horizontal="center" vertical="center"/>
    </xf>
    <xf numFmtId="0" fontId="15" fillId="5" borderId="9" xfId="0" applyFont="1" applyFill="1" applyBorder="1" applyAlignment="1">
      <alignment horizontal="center" vertical="center"/>
    </xf>
    <xf numFmtId="3" fontId="11" fillId="5" borderId="12" xfId="0" applyNumberFormat="1" applyFont="1" applyFill="1" applyBorder="1" applyAlignment="1">
      <alignment horizontal="right" vertical="center"/>
    </xf>
    <xf numFmtId="3" fontId="11" fillId="5" borderId="12" xfId="0" applyNumberFormat="1" applyFont="1" applyFill="1" applyBorder="1" applyAlignment="1">
      <alignment horizontal="center" vertical="center"/>
    </xf>
    <xf numFmtId="3" fontId="11" fillId="5" borderId="10" xfId="0" applyNumberFormat="1" applyFont="1" applyFill="1" applyBorder="1" applyAlignment="1">
      <alignment horizontal="center" vertical="center"/>
    </xf>
    <xf numFmtId="3" fontId="11" fillId="5" borderId="11" xfId="0" applyNumberFormat="1" applyFont="1" applyFill="1" applyBorder="1" applyAlignment="1">
      <alignment horizontal="right" vertical="center"/>
    </xf>
    <xf numFmtId="0" fontId="6" fillId="0" borderId="9" xfId="0" applyFont="1" applyFill="1" applyBorder="1" applyAlignment="1">
      <alignment horizontal="right" vertical="center" indent="1"/>
    </xf>
    <xf numFmtId="0" fontId="6" fillId="0" borderId="10" xfId="0" applyFont="1" applyFill="1" applyBorder="1" applyAlignment="1">
      <alignment horizontal="right" vertical="center" indent="1"/>
    </xf>
    <xf numFmtId="0" fontId="6" fillId="0" borderId="12" xfId="0" applyFont="1" applyFill="1" applyBorder="1" applyAlignment="1">
      <alignment horizontal="right" vertical="center" indent="1"/>
    </xf>
    <xf numFmtId="0" fontId="15" fillId="0" borderId="14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3" fontId="16" fillId="0" borderId="16" xfId="0" applyNumberFormat="1" applyFont="1" applyFill="1" applyBorder="1" applyAlignment="1">
      <alignment horizontal="right" vertical="center"/>
    </xf>
    <xf numFmtId="3" fontId="17" fillId="0" borderId="16" xfId="0" applyNumberFormat="1" applyFont="1" applyFill="1" applyBorder="1" applyAlignment="1">
      <alignment horizontal="center" vertical="center"/>
    </xf>
    <xf numFmtId="3" fontId="17" fillId="0" borderId="0" xfId="0" applyNumberFormat="1" applyFont="1" applyFill="1" applyBorder="1" applyAlignment="1">
      <alignment horizontal="center" vertical="center"/>
    </xf>
    <xf numFmtId="49" fontId="10" fillId="0" borderId="46" xfId="0" applyNumberFormat="1" applyFont="1" applyFill="1" applyBorder="1" applyAlignment="1">
      <alignment horizontal="center" vertical="center"/>
    </xf>
    <xf numFmtId="49" fontId="10" fillId="0" borderId="30" xfId="0" applyNumberFormat="1" applyFont="1" applyFill="1" applyBorder="1" applyAlignment="1">
      <alignment horizontal="center" vertical="center"/>
    </xf>
    <xf numFmtId="49" fontId="10" fillId="0" borderId="39" xfId="0" applyNumberFormat="1" applyFont="1" applyFill="1" applyBorder="1" applyAlignment="1">
      <alignment horizontal="center" vertical="center"/>
    </xf>
    <xf numFmtId="49" fontId="10" fillId="0" borderId="40" xfId="0" applyNumberFormat="1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right" vertical="center" wrapText="1" indent="1"/>
    </xf>
    <xf numFmtId="0" fontId="1" fillId="0" borderId="56" xfId="0" applyFont="1" applyFill="1" applyBorder="1" applyAlignment="1">
      <alignment horizontal="right" vertical="center" wrapText="1" indent="1"/>
    </xf>
    <xf numFmtId="0" fontId="12" fillId="0" borderId="41" xfId="0" applyFont="1" applyFill="1" applyBorder="1" applyAlignment="1">
      <alignment horizontal="right" vertical="center" indent="1" shrinkToFit="1"/>
    </xf>
    <xf numFmtId="0" fontId="10" fillId="6" borderId="14" xfId="0" applyFont="1" applyFill="1" applyBorder="1" applyAlignment="1">
      <alignment horizontal="center" vertical="center"/>
    </xf>
    <xf numFmtId="0" fontId="10" fillId="6" borderId="15" xfId="0" applyFont="1" applyFill="1" applyBorder="1" applyAlignment="1">
      <alignment horizontal="center" vertical="center"/>
    </xf>
    <xf numFmtId="3" fontId="11" fillId="6" borderId="16" xfId="0" applyNumberFormat="1" applyFont="1" applyFill="1" applyBorder="1" applyAlignment="1">
      <alignment horizontal="right" vertical="center"/>
    </xf>
    <xf numFmtId="3" fontId="11" fillId="6" borderId="16" xfId="0" applyNumberFormat="1" applyFont="1" applyFill="1" applyBorder="1" applyAlignment="1">
      <alignment horizontal="center" vertical="center"/>
    </xf>
    <xf numFmtId="3" fontId="11" fillId="6" borderId="0" xfId="0" applyNumberFormat="1" applyFont="1" applyFill="1" applyBorder="1" applyAlignment="1">
      <alignment horizontal="center" vertical="center"/>
    </xf>
    <xf numFmtId="3" fontId="11" fillId="6" borderId="14" xfId="0" applyNumberFormat="1" applyFont="1" applyFill="1" applyBorder="1" applyAlignment="1">
      <alignment horizontal="right" vertical="center"/>
    </xf>
    <xf numFmtId="0" fontId="1" fillId="0" borderId="30" xfId="0" applyFont="1" applyFill="1" applyBorder="1" applyAlignment="1">
      <alignment horizontal="right" vertical="center" wrapText="1" indent="1"/>
    </xf>
    <xf numFmtId="0" fontId="1" fillId="0" borderId="57" xfId="0" applyFont="1" applyFill="1" applyBorder="1" applyAlignment="1">
      <alignment horizontal="right" vertical="center" wrapText="1" indent="1"/>
    </xf>
    <xf numFmtId="0" fontId="12" fillId="0" borderId="58" xfId="0" applyFont="1" applyFill="1" applyBorder="1" applyAlignment="1">
      <alignment horizontal="right" vertical="center" indent="1" shrinkToFit="1"/>
    </xf>
    <xf numFmtId="0" fontId="10" fillId="6" borderId="46" xfId="0" applyFont="1" applyFill="1" applyBorder="1" applyAlignment="1">
      <alignment horizontal="center" vertical="center"/>
    </xf>
    <xf numFmtId="0" fontId="10" fillId="6" borderId="30" xfId="0" applyFont="1" applyFill="1" applyBorder="1" applyAlignment="1">
      <alignment horizontal="center" vertical="center"/>
    </xf>
    <xf numFmtId="3" fontId="11" fillId="6" borderId="33" xfId="0" applyNumberFormat="1" applyFont="1" applyFill="1" applyBorder="1" applyAlignment="1">
      <alignment horizontal="right" vertical="center"/>
    </xf>
    <xf numFmtId="3" fontId="11" fillId="6" borderId="33" xfId="0" applyNumberFormat="1" applyFont="1" applyFill="1" applyBorder="1" applyAlignment="1">
      <alignment horizontal="center" vertical="center"/>
    </xf>
    <xf numFmtId="3" fontId="11" fillId="6" borderId="52" xfId="0" applyNumberFormat="1" applyFont="1" applyFill="1" applyBorder="1" applyAlignment="1">
      <alignment horizontal="center" vertical="center"/>
    </xf>
    <xf numFmtId="3" fontId="11" fillId="6" borderId="33" xfId="0" quotePrefix="1" applyNumberFormat="1" applyFont="1" applyFill="1" applyBorder="1" applyAlignment="1">
      <alignment horizontal="right" vertical="center" indent="2"/>
    </xf>
    <xf numFmtId="3" fontId="11" fillId="6" borderId="46" xfId="0" quotePrefix="1" applyNumberFormat="1" applyFont="1" applyFill="1" applyBorder="1" applyAlignment="1">
      <alignment horizontal="right" vertical="center" indent="2"/>
    </xf>
    <xf numFmtId="0" fontId="12" fillId="0" borderId="38" xfId="0" applyFont="1" applyFill="1" applyBorder="1" applyAlignment="1">
      <alignment horizontal="right" vertical="center" indent="1" shrinkToFit="1"/>
    </xf>
    <xf numFmtId="0" fontId="12" fillId="0" borderId="15" xfId="0" applyFont="1" applyFill="1" applyBorder="1" applyAlignment="1">
      <alignment horizontal="right" vertical="center" indent="1"/>
    </xf>
    <xf numFmtId="0" fontId="12" fillId="0" borderId="0" xfId="0" applyFont="1" applyFill="1" applyBorder="1" applyAlignment="1">
      <alignment horizontal="right" vertical="center" indent="1"/>
    </xf>
    <xf numFmtId="0" fontId="12" fillId="0" borderId="8" xfId="0" applyFont="1" applyFill="1" applyBorder="1" applyAlignment="1">
      <alignment horizontal="right" vertical="center" indent="1" shrinkToFit="1"/>
    </xf>
    <xf numFmtId="0" fontId="12" fillId="0" borderId="1" xfId="0" applyFont="1" applyFill="1" applyBorder="1" applyAlignment="1">
      <alignment horizontal="right" vertical="center" indent="1"/>
    </xf>
    <xf numFmtId="3" fontId="11" fillId="0" borderId="8" xfId="0" applyNumberFormat="1" applyFont="1" applyFill="1" applyBorder="1" applyAlignment="1">
      <alignment horizontal="right" vertical="center"/>
    </xf>
    <xf numFmtId="3" fontId="11" fillId="0" borderId="0" xfId="0" applyNumberFormat="1" applyFont="1" applyFill="1" applyBorder="1" applyAlignment="1">
      <alignment horizontal="center" vertical="center"/>
    </xf>
    <xf numFmtId="0" fontId="12" fillId="0" borderId="44" xfId="0" applyFont="1" applyFill="1" applyBorder="1" applyAlignment="1">
      <alignment horizontal="right" vertical="center" indent="1" shrinkToFit="1"/>
    </xf>
    <xf numFmtId="0" fontId="12" fillId="0" borderId="45" xfId="0" applyFont="1" applyFill="1" applyBorder="1" applyAlignment="1">
      <alignment horizontal="right" vertical="center" indent="1" shrinkToFit="1"/>
    </xf>
    <xf numFmtId="0" fontId="10" fillId="5" borderId="11" xfId="0" applyFont="1" applyFill="1" applyBorder="1" applyAlignment="1">
      <alignment horizontal="center" vertical="center"/>
    </xf>
    <xf numFmtId="0" fontId="10" fillId="5" borderId="9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right" vertical="center" indent="1" shrinkToFit="1"/>
    </xf>
    <xf numFmtId="0" fontId="1" fillId="0" borderId="3" xfId="0" applyFont="1" applyFill="1" applyBorder="1" applyAlignment="1">
      <alignment horizontal="right" vertical="center" indent="1" shrinkToFit="1"/>
    </xf>
    <xf numFmtId="3" fontId="18" fillId="0" borderId="3" xfId="0" applyNumberFormat="1" applyFont="1" applyFill="1" applyBorder="1" applyAlignment="1">
      <alignment horizontal="right" vertical="center" indent="1" shrinkToFit="1"/>
    </xf>
    <xf numFmtId="3" fontId="18" fillId="0" borderId="3" xfId="0" applyNumberFormat="1" applyFont="1" applyFill="1" applyBorder="1" applyAlignment="1">
      <alignment horizontal="center" vertical="center" shrinkToFit="1"/>
    </xf>
    <xf numFmtId="3" fontId="10" fillId="0" borderId="3" xfId="0" applyNumberFormat="1" applyFont="1" applyFill="1" applyBorder="1" applyAlignment="1">
      <alignment horizontal="center" vertical="center"/>
    </xf>
    <xf numFmtId="3" fontId="10" fillId="0" borderId="5" xfId="0" applyNumberFormat="1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right" vertical="center" indent="1"/>
    </xf>
    <xf numFmtId="0" fontId="19" fillId="0" borderId="10" xfId="0" applyFont="1" applyFill="1" applyBorder="1" applyAlignment="1">
      <alignment horizontal="right" vertical="center" indent="1"/>
    </xf>
    <xf numFmtId="0" fontId="19" fillId="0" borderId="12" xfId="0" applyFont="1" applyFill="1" applyBorder="1" applyAlignment="1">
      <alignment horizontal="right" vertical="center" indent="1"/>
    </xf>
    <xf numFmtId="0" fontId="20" fillId="0" borderId="11" xfId="0" applyFont="1" applyFill="1" applyBorder="1" applyAlignment="1">
      <alignment horizontal="center" vertical="center"/>
    </xf>
    <xf numFmtId="0" fontId="20" fillId="0" borderId="9" xfId="0" applyFont="1" applyFill="1" applyBorder="1" applyAlignment="1">
      <alignment horizontal="center" vertical="center"/>
    </xf>
    <xf numFmtId="3" fontId="21" fillId="0" borderId="12" xfId="0" applyNumberFormat="1" applyFont="1" applyFill="1" applyBorder="1" applyAlignment="1">
      <alignment horizontal="right" vertical="center"/>
    </xf>
    <xf numFmtId="3" fontId="21" fillId="0" borderId="12" xfId="0" applyNumberFormat="1" applyFont="1" applyFill="1" applyBorder="1" applyAlignment="1">
      <alignment horizontal="center" vertical="center"/>
    </xf>
    <xf numFmtId="3" fontId="21" fillId="0" borderId="10" xfId="0" applyNumberFormat="1" applyFont="1" applyFill="1" applyBorder="1" applyAlignment="1">
      <alignment horizontal="center" vertical="center"/>
    </xf>
    <xf numFmtId="3" fontId="21" fillId="0" borderId="12" xfId="0" applyNumberFormat="1" applyFont="1" applyFill="1" applyBorder="1" applyAlignment="1">
      <alignment vertical="center"/>
    </xf>
    <xf numFmtId="3" fontId="21" fillId="0" borderId="11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22" fillId="0" borderId="0" xfId="0" applyFont="1" applyFill="1" applyBorder="1" applyAlignment="1">
      <alignment horizontal="right" vertical="center" indent="1"/>
    </xf>
    <xf numFmtId="0" fontId="23" fillId="0" borderId="0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center"/>
    </xf>
    <xf numFmtId="0" fontId="1" fillId="0" borderId="0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alimipc\SHARE\&#1581;&#1587;&#1740;&#1606;&#1740;\1400\Copy%20of%20&#1576;&#1608;&#1583;&#1580;&#1607;1400-14000218\&#1576;&#1608;&#1583;&#1580;&#1607;%20&#1662;&#1740;&#1588;&#1606;&#1607;&#1575;&#1583;&#1740;1400-9912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فرم منابع و مصارف -نهایی"/>
      <sheetName val="منابع ومصارف"/>
      <sheetName val="یادداشت1-اعتبارات"/>
      <sheetName val="توضیح یادداشت1-1-محاسبه حقوق "/>
      <sheetName val="یادداشت1-1-1-اعتبارت"/>
      <sheetName val="یادداشت3و2-1-1-اعتبارات"/>
      <sheetName val="یادداشت4-صورت درآمدوهزینه"/>
      <sheetName val="یادداشت1-4-سودسهام"/>
      <sheetName val="یادداشت8-هزینه های اداره طرح"/>
      <sheetName val="یادداشت1-8-هزینه های پرسنلی"/>
      <sheetName val="یادداشت2-8-هزینه دارائی"/>
      <sheetName val="یادداشت3-8-هزینه اداری"/>
      <sheetName val="یادداشت1-9-پرداخت سرمایه گذاری"/>
      <sheetName val="یادداشت2-9-زمین ساختمان تاسیس "/>
      <sheetName val="یادداشت-3-9- اثاثیه اداری و "/>
      <sheetName val="یادداشت4-9-هزینه بیمه ای"/>
      <sheetName val="یادداشت10-هزینه بیمه ای"/>
      <sheetName val="یادداشت11-هزینه های مالی"/>
      <sheetName val="تراز کل"/>
      <sheetName val="صورت تغییرات خالص داراییها"/>
      <sheetName val="یادداشت-12"/>
      <sheetName val="یادداشت1-12"/>
      <sheetName val="یادداشت2-12"/>
      <sheetName val="یادداشت-13"/>
      <sheetName val="یادداشت-1-13"/>
      <sheetName val="یادداشت2-13"/>
      <sheetName val="یادداشت-14"/>
      <sheetName val="یادداشت1-14"/>
      <sheetName val="یادداشت2-14"/>
      <sheetName val="یادداشت15-املاک"/>
      <sheetName val="یادداشت16-اوراق سپرده"/>
      <sheetName val="یادداشت-17-تسهیلات"/>
      <sheetName val="یادداشت-18-سپرده بانکی"/>
      <sheetName val="یادداشت1-18-لیست سپرده ها"/>
      <sheetName val="یادداشت-19-موجودی نقد"/>
      <sheetName val="یادداشت-20-بدهی دولت"/>
      <sheetName val="یادداشت-21-حق بیمه دریافتنی"/>
      <sheetName val="یادداشت-22-حسابهای دریافتنی"/>
      <sheetName val="یادداشت-23-پیش پرداختها"/>
      <sheetName val="یادداشت-24-دارایی مشهود"/>
      <sheetName val="یادداشت-25-دارایی نامشهود"/>
      <sheetName val="یادداشت-26-حسابهای پرداختنی"/>
    </sheetNames>
    <sheetDataSet>
      <sheetData sheetId="0"/>
      <sheetData sheetId="1">
        <row r="22">
          <cell r="D22">
            <v>14000000</v>
          </cell>
        </row>
        <row r="44">
          <cell r="D44">
            <v>14400000</v>
          </cell>
        </row>
        <row r="45">
          <cell r="D45">
            <v>9600000</v>
          </cell>
        </row>
      </sheetData>
      <sheetData sheetId="2">
        <row r="9">
          <cell r="G9">
            <v>200000000</v>
          </cell>
        </row>
        <row r="14">
          <cell r="G14">
            <v>14400000</v>
          </cell>
          <cell r="I14">
            <v>0</v>
          </cell>
        </row>
        <row r="15">
          <cell r="G15">
            <v>9600000</v>
          </cell>
        </row>
        <row r="22">
          <cell r="I22">
            <v>173500000</v>
          </cell>
        </row>
        <row r="23">
          <cell r="G23">
            <v>85000000</v>
          </cell>
        </row>
        <row r="26">
          <cell r="G26">
            <v>38400000</v>
          </cell>
        </row>
      </sheetData>
      <sheetData sheetId="3"/>
      <sheetData sheetId="4"/>
      <sheetData sheetId="5"/>
      <sheetData sheetId="6">
        <row r="24">
          <cell r="F24">
            <v>55820419</v>
          </cell>
          <cell r="H24">
            <v>40718378</v>
          </cell>
          <cell r="J24">
            <v>18295524</v>
          </cell>
          <cell r="N24">
            <v>33858582</v>
          </cell>
        </row>
        <row r="27">
          <cell r="F27">
            <v>0</v>
          </cell>
          <cell r="J27">
            <v>20229519</v>
          </cell>
        </row>
        <row r="31">
          <cell r="N31">
            <v>34512198</v>
          </cell>
        </row>
      </sheetData>
      <sheetData sheetId="7"/>
      <sheetData sheetId="8">
        <row r="6">
          <cell r="G6">
            <v>1603708.1000000003</v>
          </cell>
        </row>
        <row r="7">
          <cell r="G7">
            <v>38299.300000000003</v>
          </cell>
        </row>
        <row r="8">
          <cell r="G8">
            <v>1167976</v>
          </cell>
        </row>
      </sheetData>
      <sheetData sheetId="9">
        <row r="19">
          <cell r="G19">
            <v>1215144</v>
          </cell>
          <cell r="I19">
            <v>581800</v>
          </cell>
          <cell r="M19">
            <v>934832</v>
          </cell>
        </row>
      </sheetData>
      <sheetData sheetId="10">
        <row r="10">
          <cell r="G10">
            <v>29461</v>
          </cell>
          <cell r="I10">
            <v>6790</v>
          </cell>
          <cell r="M10">
            <v>19809</v>
          </cell>
        </row>
      </sheetData>
      <sheetData sheetId="11">
        <row r="27">
          <cell r="H27">
            <v>184275</v>
          </cell>
          <cell r="L27">
            <v>449760</v>
          </cell>
        </row>
      </sheetData>
      <sheetData sheetId="12">
        <row r="22">
          <cell r="E22">
            <v>17005000</v>
          </cell>
          <cell r="G22">
            <v>0</v>
          </cell>
          <cell r="M22">
            <v>339156</v>
          </cell>
          <cell r="O22">
            <v>993</v>
          </cell>
          <cell r="U22">
            <v>1417392</v>
          </cell>
        </row>
      </sheetData>
      <sheetData sheetId="13">
        <row r="18">
          <cell r="F18">
            <v>501073</v>
          </cell>
          <cell r="J18">
            <v>35</v>
          </cell>
          <cell r="L18">
            <v>501073</v>
          </cell>
          <cell r="N18">
            <v>217476</v>
          </cell>
        </row>
      </sheetData>
      <sheetData sheetId="14">
        <row r="15">
          <cell r="E15">
            <v>173000</v>
          </cell>
          <cell r="I15">
            <v>29098</v>
          </cell>
          <cell r="K15">
            <v>95610</v>
          </cell>
          <cell r="M15">
            <v>16602</v>
          </cell>
        </row>
      </sheetData>
      <sheetData sheetId="15">
        <row r="11">
          <cell r="F11">
            <v>1500000</v>
          </cell>
          <cell r="J11">
            <v>0</v>
          </cell>
          <cell r="L11">
            <v>504530.05437999999</v>
          </cell>
          <cell r="N11">
            <v>11123</v>
          </cell>
        </row>
      </sheetData>
      <sheetData sheetId="16">
        <row r="13">
          <cell r="D13">
            <v>1100000</v>
          </cell>
          <cell r="H13">
            <v>205066</v>
          </cell>
          <cell r="L13">
            <v>883069</v>
          </cell>
        </row>
      </sheetData>
      <sheetData sheetId="17">
        <row r="7">
          <cell r="E7">
            <v>7797167</v>
          </cell>
          <cell r="G7">
            <v>5569405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0"/>
  <sheetViews>
    <sheetView rightToLeft="1" tabSelected="1" topLeftCell="A28" workbookViewId="0">
      <selection activeCell="B10" sqref="B10"/>
    </sheetView>
  </sheetViews>
  <sheetFormatPr defaultRowHeight="14.25" x14ac:dyDescent="0.2"/>
  <cols>
    <col min="1" max="1" width="7" style="199" customWidth="1"/>
    <col min="2" max="2" width="18.5" style="199" customWidth="1"/>
    <col min="3" max="3" width="30.5" style="199" customWidth="1"/>
    <col min="4" max="4" width="8.25" style="199" customWidth="1"/>
    <col min="5" max="5" width="5.25" style="199" customWidth="1"/>
    <col min="6" max="6" width="16.25" style="199" customWidth="1"/>
    <col min="7" max="7" width="15.5" style="199" hidden="1" customWidth="1"/>
    <col min="8" max="8" width="5" style="199" customWidth="1"/>
    <col min="9" max="9" width="15.5" style="199" customWidth="1"/>
    <col min="10" max="10" width="14.5" style="199" customWidth="1"/>
    <col min="11" max="11" width="15.125" style="199" customWidth="1"/>
    <col min="12" max="12" width="14.875" style="199" customWidth="1"/>
  </cols>
  <sheetData>
    <row r="1" spans="1:12" x14ac:dyDescent="0.2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ht="29.25" thickBot="1" x14ac:dyDescent="0.25">
      <c r="A2" s="3" t="s">
        <v>0</v>
      </c>
      <c r="B2" s="3"/>
      <c r="C2" s="3"/>
      <c r="D2" s="3"/>
      <c r="E2" s="3" t="s">
        <v>1</v>
      </c>
      <c r="F2" s="3"/>
      <c r="G2" s="3"/>
      <c r="H2" s="3"/>
      <c r="I2" s="3"/>
      <c r="J2" s="3"/>
      <c r="K2" s="3"/>
      <c r="L2" s="4" t="s">
        <v>2</v>
      </c>
    </row>
    <row r="3" spans="1:12" ht="25.5" x14ac:dyDescent="0.2">
      <c r="A3" s="5" t="s">
        <v>3</v>
      </c>
      <c r="B3" s="6"/>
      <c r="C3" s="7"/>
      <c r="D3" s="8" t="s">
        <v>4</v>
      </c>
      <c r="E3" s="9"/>
      <c r="F3" s="10" t="s">
        <v>5</v>
      </c>
      <c r="G3" s="8" t="s">
        <v>6</v>
      </c>
      <c r="H3" s="9"/>
      <c r="I3" s="10" t="s">
        <v>7</v>
      </c>
      <c r="J3" s="8" t="s">
        <v>8</v>
      </c>
      <c r="K3" s="8" t="s">
        <v>9</v>
      </c>
      <c r="L3" s="10" t="s">
        <v>10</v>
      </c>
    </row>
    <row r="4" spans="1:12" ht="26.25" thickBot="1" x14ac:dyDescent="0.25">
      <c r="A4" s="11"/>
      <c r="B4" s="12"/>
      <c r="C4" s="12"/>
      <c r="D4" s="13"/>
      <c r="E4" s="14"/>
      <c r="F4" s="15"/>
      <c r="G4" s="16"/>
      <c r="H4" s="14"/>
      <c r="I4" s="17"/>
      <c r="J4" s="13"/>
      <c r="K4" s="13"/>
      <c r="L4" s="18"/>
    </row>
    <row r="5" spans="1:12" ht="33.75" thickBot="1" x14ac:dyDescent="0.25">
      <c r="A5" s="19" t="s">
        <v>11</v>
      </c>
      <c r="B5" s="19"/>
      <c r="C5" s="19"/>
      <c r="D5" s="20"/>
      <c r="E5" s="20"/>
      <c r="F5" s="21"/>
      <c r="G5" s="20"/>
      <c r="H5" s="20"/>
      <c r="I5" s="21"/>
      <c r="J5" s="21"/>
      <c r="K5" s="21"/>
      <c r="L5" s="22"/>
    </row>
    <row r="6" spans="1:12" ht="31.5" thickBot="1" x14ac:dyDescent="0.25">
      <c r="A6" s="23" t="s">
        <v>12</v>
      </c>
      <c r="B6" s="24"/>
      <c r="C6" s="25"/>
      <c r="D6" s="26"/>
      <c r="E6" s="27"/>
      <c r="F6" s="28">
        <f>SUM(F7:F22)</f>
        <v>1141276889</v>
      </c>
      <c r="G6" s="29">
        <f>F6/F$35*100</f>
        <v>80.063069804650326</v>
      </c>
      <c r="H6" s="30"/>
      <c r="I6" s="28">
        <f>SUM(I7:I22)</f>
        <v>633258350</v>
      </c>
      <c r="J6" s="31">
        <f>SUM(J7:J22)-J7</f>
        <v>286711646.83333325</v>
      </c>
      <c r="K6" s="31">
        <f>SUM(K7:K22)-K7</f>
        <v>716352975</v>
      </c>
      <c r="L6" s="31">
        <f>SUM(L7:L22)-L7</f>
        <v>381548353</v>
      </c>
    </row>
    <row r="7" spans="1:12" ht="31.5" thickBot="1" x14ac:dyDescent="0.25">
      <c r="A7" s="32" t="s">
        <v>13</v>
      </c>
      <c r="B7" s="32"/>
      <c r="C7" s="33"/>
      <c r="D7" s="34"/>
      <c r="E7" s="35"/>
      <c r="F7" s="36">
        <v>727200000</v>
      </c>
      <c r="G7" s="37"/>
      <c r="H7" s="38"/>
      <c r="I7" s="36">
        <v>431175350</v>
      </c>
      <c r="J7" s="39">
        <v>286711647</v>
      </c>
      <c r="K7" s="40">
        <v>455791000</v>
      </c>
      <c r="L7" s="41">
        <v>381548353</v>
      </c>
    </row>
    <row r="8" spans="1:12" ht="30.75" x14ac:dyDescent="0.2">
      <c r="A8" s="42"/>
      <c r="B8" s="43" t="s">
        <v>14</v>
      </c>
      <c r="C8" s="43"/>
      <c r="D8" s="44">
        <v>1</v>
      </c>
      <c r="E8" s="45">
        <f>F7-E9-E10-E11-E12-E13-E14-E15-E16</f>
        <v>129409376</v>
      </c>
      <c r="F8" s="46"/>
      <c r="G8" s="47">
        <f t="shared" ref="G8:G13" si="0">F8/F$35*100</f>
        <v>0</v>
      </c>
      <c r="H8" s="45">
        <v>179769812</v>
      </c>
      <c r="I8" s="46"/>
      <c r="J8" s="48">
        <f>146127743-1216370</f>
        <v>144911373</v>
      </c>
      <c r="K8" s="49">
        <f>179769812+24615650</f>
        <v>204385462</v>
      </c>
      <c r="L8" s="48">
        <f>381548353-L9-L10-L11-L12-L13-L16</f>
        <v>170978499</v>
      </c>
    </row>
    <row r="9" spans="1:12" ht="27" x14ac:dyDescent="0.2">
      <c r="A9" s="42"/>
      <c r="B9" s="50" t="s">
        <v>15</v>
      </c>
      <c r="C9" s="50"/>
      <c r="D9" s="51" t="s">
        <v>16</v>
      </c>
      <c r="E9" s="45">
        <v>120585503</v>
      </c>
      <c r="F9" s="46"/>
      <c r="G9" s="52">
        <f t="shared" si="0"/>
        <v>0</v>
      </c>
      <c r="H9" s="45">
        <v>96468402</v>
      </c>
      <c r="I9" s="46"/>
      <c r="J9" s="53">
        <v>56273235</v>
      </c>
      <c r="K9" s="54">
        <v>96468402</v>
      </c>
      <c r="L9" s="48">
        <v>83885567</v>
      </c>
    </row>
    <row r="10" spans="1:12" ht="27" x14ac:dyDescent="0.2">
      <c r="A10" s="42"/>
      <c r="B10" s="50" t="s">
        <v>17</v>
      </c>
      <c r="C10" s="50"/>
      <c r="D10" s="51" t="s">
        <v>18</v>
      </c>
      <c r="E10" s="45">
        <v>11681323</v>
      </c>
      <c r="F10" s="46"/>
      <c r="G10" s="52">
        <f t="shared" si="0"/>
        <v>0</v>
      </c>
      <c r="H10" s="45">
        <v>9345058</v>
      </c>
      <c r="I10" s="46"/>
      <c r="J10" s="53">
        <f>K10/12*7</f>
        <v>5451283.833333334</v>
      </c>
      <c r="K10" s="54">
        <v>9345058</v>
      </c>
      <c r="L10" s="53">
        <v>5454654</v>
      </c>
    </row>
    <row r="11" spans="1:12" ht="27" x14ac:dyDescent="0.2">
      <c r="A11" s="42"/>
      <c r="B11" s="50" t="s">
        <v>19</v>
      </c>
      <c r="C11" s="50"/>
      <c r="D11" s="51" t="s">
        <v>20</v>
      </c>
      <c r="E11" s="45">
        <v>39556550</v>
      </c>
      <c r="F11" s="46"/>
      <c r="G11" s="52">
        <f t="shared" si="0"/>
        <v>0</v>
      </c>
      <c r="H11" s="45">
        <v>31625240</v>
      </c>
      <c r="I11" s="46"/>
      <c r="J11" s="53">
        <v>18459723</v>
      </c>
      <c r="K11" s="54">
        <v>31625240</v>
      </c>
      <c r="L11" s="53">
        <v>27517600</v>
      </c>
    </row>
    <row r="12" spans="1:12" ht="27" x14ac:dyDescent="0.2">
      <c r="A12" s="42"/>
      <c r="B12" s="50" t="s">
        <v>21</v>
      </c>
      <c r="C12" s="50"/>
      <c r="D12" s="51" t="s">
        <v>20</v>
      </c>
      <c r="E12" s="45">
        <v>36989798</v>
      </c>
      <c r="F12" s="46"/>
      <c r="G12" s="52">
        <f t="shared" si="0"/>
        <v>0</v>
      </c>
      <c r="H12" s="45">
        <v>29591838</v>
      </c>
      <c r="I12" s="46"/>
      <c r="J12" s="53">
        <v>17261906</v>
      </c>
      <c r="K12" s="54">
        <v>29591838</v>
      </c>
      <c r="L12" s="53">
        <v>25732033</v>
      </c>
    </row>
    <row r="13" spans="1:12" ht="27" x14ac:dyDescent="0.2">
      <c r="A13" s="42"/>
      <c r="B13" s="50" t="s">
        <v>22</v>
      </c>
      <c r="C13" s="50"/>
      <c r="D13" s="51" t="s">
        <v>20</v>
      </c>
      <c r="E13" s="45">
        <v>46718750</v>
      </c>
      <c r="F13" s="46"/>
      <c r="G13" s="52">
        <f t="shared" si="0"/>
        <v>0</v>
      </c>
      <c r="H13" s="45">
        <v>37375000</v>
      </c>
      <c r="I13" s="46"/>
      <c r="J13" s="53">
        <v>21802083</v>
      </c>
      <c r="K13" s="54">
        <v>37375000</v>
      </c>
      <c r="L13" s="53">
        <v>28600000</v>
      </c>
    </row>
    <row r="14" spans="1:12" ht="27" x14ac:dyDescent="0.2">
      <c r="A14" s="42"/>
      <c r="B14" s="55" t="s">
        <v>23</v>
      </c>
      <c r="C14" s="55"/>
      <c r="D14" s="56" t="s">
        <v>20</v>
      </c>
      <c r="E14" s="45">
        <v>515000000</v>
      </c>
      <c r="F14" s="46"/>
      <c r="G14" s="57">
        <f>(F14+F15)/F$35*100</f>
        <v>0</v>
      </c>
      <c r="H14" s="45">
        <f>'[1]یادداشت1-اعتبارات'!H1</f>
        <v>0</v>
      </c>
      <c r="I14" s="46"/>
      <c r="J14" s="58">
        <v>0</v>
      </c>
      <c r="K14" s="59">
        <f>'[1]یادداشت1-اعتبارات'!K1</f>
        <v>0</v>
      </c>
      <c r="L14" s="58">
        <v>0</v>
      </c>
    </row>
    <row r="15" spans="1:12" ht="26.25" x14ac:dyDescent="0.2">
      <c r="A15" s="42"/>
      <c r="B15" s="43" t="s">
        <v>24</v>
      </c>
      <c r="C15" s="43"/>
      <c r="D15" s="60" t="s">
        <v>25</v>
      </c>
      <c r="E15" s="45">
        <v>-255000000</v>
      </c>
      <c r="F15" s="46"/>
      <c r="G15" s="61"/>
      <c r="H15" s="45">
        <v>0</v>
      </c>
      <c r="I15" s="46"/>
      <c r="J15" s="48">
        <v>0</v>
      </c>
      <c r="K15" s="49">
        <v>0</v>
      </c>
      <c r="L15" s="48">
        <v>0</v>
      </c>
    </row>
    <row r="16" spans="1:12" ht="27" x14ac:dyDescent="0.2">
      <c r="A16" s="62"/>
      <c r="B16" s="63" t="s">
        <v>26</v>
      </c>
      <c r="C16" s="63"/>
      <c r="D16" s="64">
        <v>1</v>
      </c>
      <c r="E16" s="65">
        <v>82258700</v>
      </c>
      <c r="F16" s="66"/>
      <c r="G16" s="67">
        <f>F16/F$35*100</f>
        <v>0</v>
      </c>
      <c r="H16" s="65">
        <v>47000000</v>
      </c>
      <c r="I16" s="66"/>
      <c r="J16" s="68">
        <v>22552043</v>
      </c>
      <c r="K16" s="69">
        <v>47000000</v>
      </c>
      <c r="L16" s="68">
        <v>39380000</v>
      </c>
    </row>
    <row r="17" spans="1:12" ht="30.75" x14ac:dyDescent="0.2">
      <c r="A17" s="70" t="s">
        <v>27</v>
      </c>
      <c r="B17" s="71"/>
      <c r="C17" s="72"/>
      <c r="D17" s="73">
        <v>1</v>
      </c>
      <c r="E17" s="74"/>
      <c r="F17" s="75"/>
      <c r="G17" s="76">
        <f>F17/F$35*100</f>
        <v>0</v>
      </c>
      <c r="H17" s="77"/>
      <c r="I17" s="78">
        <v>0</v>
      </c>
      <c r="J17" s="79">
        <v>0</v>
      </c>
      <c r="K17" s="79">
        <v>15040000</v>
      </c>
      <c r="L17" s="78">
        <v>0</v>
      </c>
    </row>
    <row r="18" spans="1:12" ht="30.75" x14ac:dyDescent="0.2">
      <c r="A18" s="80" t="s">
        <v>28</v>
      </c>
      <c r="B18" s="81"/>
      <c r="C18" s="82"/>
      <c r="D18" s="83"/>
      <c r="E18" s="84"/>
      <c r="F18" s="85"/>
      <c r="G18" s="86"/>
      <c r="H18" s="87"/>
      <c r="I18" s="85">
        <v>57200000</v>
      </c>
      <c r="J18" s="88">
        <v>0</v>
      </c>
      <c r="K18" s="89">
        <v>65000000</v>
      </c>
      <c r="L18" s="85"/>
    </row>
    <row r="19" spans="1:12" ht="30.75" x14ac:dyDescent="0.2">
      <c r="A19" s="90" t="s">
        <v>29</v>
      </c>
      <c r="B19" s="91"/>
      <c r="C19" s="81"/>
      <c r="D19" s="92" t="s">
        <v>25</v>
      </c>
      <c r="E19" s="93"/>
      <c r="F19" s="85">
        <v>255000000</v>
      </c>
      <c r="G19" s="94">
        <f>F19/F$35*100</f>
        <v>17.888807700359759</v>
      </c>
      <c r="H19" s="87"/>
      <c r="I19" s="85">
        <v>0</v>
      </c>
      <c r="J19" s="88">
        <v>0</v>
      </c>
      <c r="K19" s="89">
        <v>120000000</v>
      </c>
      <c r="L19" s="85">
        <v>0</v>
      </c>
    </row>
    <row r="20" spans="1:12" ht="30.75" x14ac:dyDescent="0.2">
      <c r="A20" s="95" t="s">
        <v>30</v>
      </c>
      <c r="B20" s="95"/>
      <c r="C20" s="95"/>
      <c r="D20" s="73"/>
      <c r="E20" s="96"/>
      <c r="F20" s="78">
        <v>72720000</v>
      </c>
      <c r="G20" s="97"/>
      <c r="H20" s="77"/>
      <c r="I20" s="78">
        <v>144883000</v>
      </c>
      <c r="J20" s="79">
        <v>0</v>
      </c>
      <c r="K20" s="79">
        <f>50779100-1257125</f>
        <v>49521975</v>
      </c>
      <c r="L20" s="78"/>
    </row>
    <row r="21" spans="1:12" ht="30.75" x14ac:dyDescent="0.2">
      <c r="A21" s="95" t="s">
        <v>31</v>
      </c>
      <c r="B21" s="95"/>
      <c r="C21" s="95"/>
      <c r="D21" s="73"/>
      <c r="E21" s="96"/>
      <c r="F21" s="78">
        <v>71956889</v>
      </c>
      <c r="G21" s="97"/>
      <c r="H21" s="77"/>
      <c r="I21" s="78">
        <v>0</v>
      </c>
      <c r="J21" s="79">
        <v>0</v>
      </c>
      <c r="K21" s="79">
        <v>0</v>
      </c>
      <c r="L21" s="78"/>
    </row>
    <row r="22" spans="1:12" ht="31.5" thickBot="1" x14ac:dyDescent="0.25">
      <c r="A22" s="98" t="s">
        <v>32</v>
      </c>
      <c r="B22" s="99"/>
      <c r="C22" s="100"/>
      <c r="D22" s="101"/>
      <c r="E22" s="102"/>
      <c r="F22" s="103">
        <f>'[1]یادداشت1-اعتبارات'!G14</f>
        <v>14400000</v>
      </c>
      <c r="G22" s="104">
        <f t="shared" ref="G22:G36" si="1">F22/F$35*100</f>
        <v>1.0101914936673748</v>
      </c>
      <c r="H22" s="105"/>
      <c r="I22" s="103">
        <f>'[1]یادداشت1-اعتبارات'!I14</f>
        <v>0</v>
      </c>
      <c r="J22" s="106">
        <v>0</v>
      </c>
      <c r="K22" s="106">
        <v>11000000</v>
      </c>
      <c r="L22" s="103">
        <v>0</v>
      </c>
    </row>
    <row r="23" spans="1:12" ht="31.5" thickBot="1" x14ac:dyDescent="0.25">
      <c r="A23" s="107" t="s">
        <v>33</v>
      </c>
      <c r="B23" s="108"/>
      <c r="C23" s="108"/>
      <c r="D23" s="26"/>
      <c r="E23" s="27"/>
      <c r="F23" s="28">
        <f>SUM(F24:F25)</f>
        <v>200000000</v>
      </c>
      <c r="G23" s="29">
        <f t="shared" si="1"/>
        <v>14.03043741204687</v>
      </c>
      <c r="H23" s="109"/>
      <c r="I23" s="28">
        <f t="shared" ref="I23:L23" si="2">SUM(I24:I25)</f>
        <v>157305505</v>
      </c>
      <c r="J23" s="31">
        <f t="shared" si="2"/>
        <v>108135982</v>
      </c>
      <c r="K23" s="31">
        <f t="shared" si="2"/>
        <v>157305505</v>
      </c>
      <c r="L23" s="28">
        <f t="shared" si="2"/>
        <v>103848307</v>
      </c>
    </row>
    <row r="24" spans="1:12" ht="30.75" x14ac:dyDescent="0.2">
      <c r="A24" s="110" t="s">
        <v>34</v>
      </c>
      <c r="B24" s="111"/>
      <c r="C24" s="111"/>
      <c r="D24" s="112">
        <v>2</v>
      </c>
      <c r="E24" s="113"/>
      <c r="F24" s="114">
        <f>'[1]یادداشت1-اعتبارات'!G9-'[1]منابع ومصارف'!D22</f>
        <v>186000000</v>
      </c>
      <c r="G24" s="115">
        <f t="shared" si="1"/>
        <v>13.04830679320359</v>
      </c>
      <c r="H24" s="116"/>
      <c r="I24" s="114">
        <v>143516047</v>
      </c>
      <c r="J24" s="89">
        <v>96359388</v>
      </c>
      <c r="K24" s="89">
        <f>I24</f>
        <v>143516047</v>
      </c>
      <c r="L24" s="114">
        <f>103848307-L25</f>
        <v>95818662</v>
      </c>
    </row>
    <row r="25" spans="1:12" ht="31.5" thickBot="1" x14ac:dyDescent="0.25">
      <c r="A25" s="117" t="s">
        <v>35</v>
      </c>
      <c r="B25" s="118"/>
      <c r="C25" s="118"/>
      <c r="D25" s="83">
        <v>2</v>
      </c>
      <c r="E25" s="84"/>
      <c r="F25" s="85">
        <v>14000000</v>
      </c>
      <c r="G25" s="94">
        <f t="shared" si="1"/>
        <v>0.9821306188432809</v>
      </c>
      <c r="H25" s="87"/>
      <c r="I25" s="85">
        <v>13789458</v>
      </c>
      <c r="J25" s="88">
        <v>11776594</v>
      </c>
      <c r="K25" s="89">
        <f>I25</f>
        <v>13789458</v>
      </c>
      <c r="L25" s="85">
        <v>8029645</v>
      </c>
    </row>
    <row r="26" spans="1:12" ht="31.5" thickBot="1" x14ac:dyDescent="0.25">
      <c r="A26" s="107" t="s">
        <v>36</v>
      </c>
      <c r="B26" s="108"/>
      <c r="C26" s="108"/>
      <c r="D26" s="26"/>
      <c r="E26" s="27"/>
      <c r="F26" s="28">
        <f>SUM(F27:F34)</f>
        <v>84195419</v>
      </c>
      <c r="G26" s="29">
        <f t="shared" si="1"/>
        <v>5.9064927833028094</v>
      </c>
      <c r="H26" s="109"/>
      <c r="I26" s="28">
        <f t="shared" ref="I26:L26" si="3">SUM(I27:I34)</f>
        <v>136285093</v>
      </c>
      <c r="J26" s="31">
        <f t="shared" si="3"/>
        <v>43525521</v>
      </c>
      <c r="K26" s="31">
        <f t="shared" si="3"/>
        <v>53271489</v>
      </c>
      <c r="L26" s="28">
        <f t="shared" si="3"/>
        <v>76491502</v>
      </c>
    </row>
    <row r="27" spans="1:12" ht="30.75" x14ac:dyDescent="0.2">
      <c r="A27" s="119" t="s">
        <v>37</v>
      </c>
      <c r="B27" s="120"/>
      <c r="C27" s="121"/>
      <c r="D27" s="112">
        <v>3</v>
      </c>
      <c r="E27" s="113"/>
      <c r="F27" s="114">
        <f>1100000*1200000/1000000</f>
        <v>1320000</v>
      </c>
      <c r="G27" s="115">
        <f t="shared" si="1"/>
        <v>9.2600886919509351E-2</v>
      </c>
      <c r="H27" s="116"/>
      <c r="I27" s="114">
        <v>602000</v>
      </c>
      <c r="J27" s="89">
        <v>601494</v>
      </c>
      <c r="K27" s="89">
        <f>I27</f>
        <v>602000</v>
      </c>
      <c r="L27" s="114">
        <v>511277</v>
      </c>
    </row>
    <row r="28" spans="1:12" ht="30.75" x14ac:dyDescent="0.2">
      <c r="A28" s="122" t="s">
        <v>38</v>
      </c>
      <c r="B28" s="123"/>
      <c r="C28" s="124"/>
      <c r="D28" s="73">
        <v>7</v>
      </c>
      <c r="E28" s="96"/>
      <c r="F28" s="78">
        <v>450000</v>
      </c>
      <c r="G28" s="97">
        <f t="shared" si="1"/>
        <v>3.1568484177105463E-2</v>
      </c>
      <c r="H28" s="77"/>
      <c r="I28" s="78">
        <v>450000</v>
      </c>
      <c r="J28" s="79">
        <v>183252</v>
      </c>
      <c r="K28" s="89">
        <f t="shared" ref="K28:K34" si="4">I28</f>
        <v>450000</v>
      </c>
      <c r="L28" s="78">
        <v>420000</v>
      </c>
    </row>
    <row r="29" spans="1:12" ht="30.75" x14ac:dyDescent="0.2">
      <c r="A29" s="122" t="s">
        <v>39</v>
      </c>
      <c r="B29" s="123"/>
      <c r="C29" s="124"/>
      <c r="D29" s="73">
        <v>4</v>
      </c>
      <c r="E29" s="96"/>
      <c r="F29" s="78">
        <f>'[1]یادداشت4-صورت درآمدوهزینه'!F24</f>
        <v>55820419</v>
      </c>
      <c r="G29" s="97">
        <f t="shared" si="1"/>
        <v>3.91592447546866</v>
      </c>
      <c r="H29" s="77"/>
      <c r="I29" s="78">
        <f>'[1]یادداشت4-صورت درآمدوهزینه'!H24</f>
        <v>40718378</v>
      </c>
      <c r="J29" s="79">
        <f>'[1]یادداشت4-صورت درآمدوهزینه'!J24</f>
        <v>18295524</v>
      </c>
      <c r="K29" s="89">
        <f t="shared" si="4"/>
        <v>40718378</v>
      </c>
      <c r="L29" s="79">
        <f>'[1]یادداشت4-صورت درآمدوهزینه'!N24</f>
        <v>33858582</v>
      </c>
    </row>
    <row r="30" spans="1:12" ht="30.75" x14ac:dyDescent="0.2">
      <c r="A30" s="125" t="s">
        <v>40</v>
      </c>
      <c r="B30" s="91"/>
      <c r="C30" s="81"/>
      <c r="D30" s="126" t="s">
        <v>41</v>
      </c>
      <c r="E30" s="127"/>
      <c r="F30" s="85">
        <v>17005000</v>
      </c>
      <c r="G30" s="94">
        <f t="shared" si="1"/>
        <v>1.1929379409592851</v>
      </c>
      <c r="H30" s="87"/>
      <c r="I30" s="85">
        <v>52616986</v>
      </c>
      <c r="J30" s="88"/>
      <c r="K30" s="89">
        <v>4301111</v>
      </c>
      <c r="L30" s="88">
        <f>'[1]یادداشت4-صورت درآمدوهزینه'!N31</f>
        <v>34512198</v>
      </c>
    </row>
    <row r="31" spans="1:12" ht="30.75" x14ac:dyDescent="0.2">
      <c r="A31" s="90" t="s">
        <v>42</v>
      </c>
      <c r="B31" s="91"/>
      <c r="C31" s="81"/>
      <c r="D31" s="83"/>
      <c r="E31" s="84"/>
      <c r="F31" s="85">
        <f>'[1]یادداشت4-صورت درآمدوهزینه'!F27</f>
        <v>0</v>
      </c>
      <c r="G31" s="94">
        <f t="shared" si="1"/>
        <v>0</v>
      </c>
      <c r="H31" s="87"/>
      <c r="I31" s="85">
        <f>22547729</f>
        <v>22547729</v>
      </c>
      <c r="J31" s="88">
        <f>'[1]یادداشت4-صورت درآمدوهزینه'!J27</f>
        <v>20229519</v>
      </c>
      <c r="K31" s="79">
        <v>0</v>
      </c>
      <c r="L31" s="88">
        <v>0</v>
      </c>
    </row>
    <row r="32" spans="1:12" ht="30.75" x14ac:dyDescent="0.2">
      <c r="A32" s="90" t="s">
        <v>43</v>
      </c>
      <c r="B32" s="91"/>
      <c r="C32" s="81"/>
      <c r="D32" s="83"/>
      <c r="E32" s="84"/>
      <c r="F32" s="85">
        <v>0</v>
      </c>
      <c r="G32" s="94">
        <f t="shared" si="1"/>
        <v>0</v>
      </c>
      <c r="H32" s="87"/>
      <c r="I32" s="85">
        <v>12150000</v>
      </c>
      <c r="J32" s="88">
        <v>0</v>
      </c>
      <c r="K32" s="79">
        <v>0</v>
      </c>
      <c r="L32" s="85">
        <v>0</v>
      </c>
    </row>
    <row r="33" spans="1:12" ht="30.75" x14ac:dyDescent="0.2">
      <c r="A33" s="90" t="s">
        <v>44</v>
      </c>
      <c r="B33" s="91"/>
      <c r="C33" s="81"/>
      <c r="D33" s="92"/>
      <c r="E33" s="93"/>
      <c r="F33" s="85">
        <v>0</v>
      </c>
      <c r="G33" s="94">
        <f t="shared" si="1"/>
        <v>0</v>
      </c>
      <c r="H33" s="87"/>
      <c r="I33" s="85">
        <v>0</v>
      </c>
      <c r="J33" s="88">
        <v>0</v>
      </c>
      <c r="K33" s="89">
        <v>0</v>
      </c>
      <c r="L33" s="85">
        <v>0</v>
      </c>
    </row>
    <row r="34" spans="1:12" ht="31.5" thickBot="1" x14ac:dyDescent="0.25">
      <c r="A34" s="98" t="s">
        <v>45</v>
      </c>
      <c r="B34" s="99"/>
      <c r="C34" s="100"/>
      <c r="D34" s="83">
        <v>5</v>
      </c>
      <c r="E34" s="84"/>
      <c r="F34" s="85">
        <f>'[1]یادداشت1-اعتبارات'!G15</f>
        <v>9600000</v>
      </c>
      <c r="G34" s="94">
        <f t="shared" si="1"/>
        <v>0.6734609957782498</v>
      </c>
      <c r="H34" s="87"/>
      <c r="I34" s="85">
        <v>7200000</v>
      </c>
      <c r="J34" s="88">
        <v>4215732</v>
      </c>
      <c r="K34" s="89">
        <f t="shared" si="4"/>
        <v>7200000</v>
      </c>
      <c r="L34" s="85">
        <v>7189445</v>
      </c>
    </row>
    <row r="35" spans="1:12" ht="31.5" thickBot="1" x14ac:dyDescent="0.25">
      <c r="A35" s="128" t="s">
        <v>46</v>
      </c>
      <c r="B35" s="129"/>
      <c r="C35" s="129"/>
      <c r="D35" s="130">
        <v>11</v>
      </c>
      <c r="E35" s="131"/>
      <c r="F35" s="132">
        <f>F6+F23+F26</f>
        <v>1425472308</v>
      </c>
      <c r="G35" s="133">
        <f t="shared" si="1"/>
        <v>100</v>
      </c>
      <c r="H35" s="134"/>
      <c r="I35" s="132">
        <f>I6+I23+I26</f>
        <v>926848948</v>
      </c>
      <c r="J35" s="135">
        <f>J6+J23+J26-0.4</f>
        <v>438373149.43333328</v>
      </c>
      <c r="K35" s="135">
        <f>K6+K23+K26</f>
        <v>926929969</v>
      </c>
      <c r="L35" s="132">
        <f>L6+L23+L26</f>
        <v>561888162</v>
      </c>
    </row>
    <row r="36" spans="1:12" ht="33.75" thickBot="1" x14ac:dyDescent="0.25">
      <c r="A36" s="136" t="s">
        <v>47</v>
      </c>
      <c r="B36" s="137"/>
      <c r="C36" s="138"/>
      <c r="D36" s="139"/>
      <c r="E36" s="140"/>
      <c r="F36" s="141"/>
      <c r="G36" s="142">
        <f t="shared" si="1"/>
        <v>0</v>
      </c>
      <c r="H36" s="143"/>
      <c r="I36" s="41"/>
      <c r="J36" s="39"/>
      <c r="K36" s="39"/>
      <c r="L36" s="41"/>
    </row>
    <row r="37" spans="1:12" ht="31.5" thickBot="1" x14ac:dyDescent="0.25">
      <c r="A37" s="23" t="s">
        <v>48</v>
      </c>
      <c r="B37" s="24"/>
      <c r="C37" s="25"/>
      <c r="D37" s="26"/>
      <c r="E37" s="27"/>
      <c r="F37" s="28">
        <f>SUM(F38:F43)</f>
        <v>1354711085</v>
      </c>
      <c r="G37" s="29">
        <f>F37/F$66*100</f>
        <v>95.035945420825115</v>
      </c>
      <c r="H37" s="109"/>
      <c r="I37" s="28">
        <f t="shared" ref="I37:L37" si="5">SUM(I38:I43)</f>
        <v>881918868</v>
      </c>
      <c r="J37" s="31">
        <f t="shared" si="5"/>
        <v>432722135</v>
      </c>
      <c r="K37" s="31">
        <f t="shared" si="5"/>
        <v>881918868</v>
      </c>
      <c r="L37" s="28">
        <f t="shared" si="5"/>
        <v>545004569</v>
      </c>
    </row>
    <row r="38" spans="1:12" ht="30.75" x14ac:dyDescent="0.2">
      <c r="A38" s="110" t="s">
        <v>49</v>
      </c>
      <c r="B38" s="111"/>
      <c r="C38" s="111"/>
      <c r="D38" s="144" t="s">
        <v>50</v>
      </c>
      <c r="E38" s="145"/>
      <c r="F38" s="114">
        <v>631395987</v>
      </c>
      <c r="G38" s="115">
        <f t="shared" ref="G38:G66" si="6">F38/F$66*100</f>
        <v>44.293809376676066</v>
      </c>
      <c r="H38" s="116"/>
      <c r="I38" s="114">
        <v>482716790</v>
      </c>
      <c r="J38" s="89">
        <v>289389134</v>
      </c>
      <c r="K38" s="89">
        <v>482716790</v>
      </c>
      <c r="L38" s="114">
        <v>418957079</v>
      </c>
    </row>
    <row r="39" spans="1:12" ht="30.75" x14ac:dyDescent="0.2">
      <c r="A39" s="122" t="s">
        <v>51</v>
      </c>
      <c r="B39" s="123"/>
      <c r="C39" s="123"/>
      <c r="D39" s="146" t="s">
        <v>20</v>
      </c>
      <c r="E39" s="147"/>
      <c r="F39" s="78">
        <v>638265098</v>
      </c>
      <c r="G39" s="97">
        <f t="shared" si="6"/>
        <v>44.775692536350356</v>
      </c>
      <c r="H39" s="77"/>
      <c r="I39" s="78">
        <v>98612078</v>
      </c>
      <c r="J39" s="79">
        <v>57523712</v>
      </c>
      <c r="K39" s="79">
        <v>98612078</v>
      </c>
      <c r="L39" s="78">
        <v>53249633</v>
      </c>
    </row>
    <row r="40" spans="1:12" ht="30.75" x14ac:dyDescent="0.2">
      <c r="A40" s="122" t="s">
        <v>52</v>
      </c>
      <c r="B40" s="123"/>
      <c r="C40" s="123"/>
      <c r="D40" s="146" t="s">
        <v>20</v>
      </c>
      <c r="E40" s="147"/>
      <c r="F40" s="78">
        <v>0</v>
      </c>
      <c r="G40" s="97">
        <f t="shared" si="6"/>
        <v>0</v>
      </c>
      <c r="H40" s="77"/>
      <c r="I40" s="78">
        <v>65000000</v>
      </c>
      <c r="J40" s="79">
        <v>37916667</v>
      </c>
      <c r="K40" s="79">
        <v>65000000</v>
      </c>
      <c r="L40" s="78">
        <v>32166399</v>
      </c>
    </row>
    <row r="41" spans="1:12" ht="30.75" x14ac:dyDescent="0.2">
      <c r="A41" s="122" t="s">
        <v>53</v>
      </c>
      <c r="B41" s="123"/>
      <c r="C41" s="123"/>
      <c r="D41" s="146" t="s">
        <v>18</v>
      </c>
      <c r="E41" s="147"/>
      <c r="F41" s="78">
        <v>0</v>
      </c>
      <c r="G41" s="97">
        <f t="shared" si="6"/>
        <v>0</v>
      </c>
      <c r="H41" s="77"/>
      <c r="I41" s="78">
        <f>'[1]یادداشت1-اعتبارات'!I22</f>
        <v>173500000</v>
      </c>
      <c r="J41" s="79">
        <v>25315526</v>
      </c>
      <c r="K41" s="79">
        <v>173500000</v>
      </c>
      <c r="L41" s="78">
        <v>0</v>
      </c>
    </row>
    <row r="42" spans="1:12" ht="30.75" x14ac:dyDescent="0.2">
      <c r="A42" s="122" t="s">
        <v>54</v>
      </c>
      <c r="B42" s="123"/>
      <c r="C42" s="124"/>
      <c r="D42" s="73">
        <v>6</v>
      </c>
      <c r="E42" s="96"/>
      <c r="F42" s="78">
        <f>'[1]یادداشت1-اعتبارات'!G23</f>
        <v>85000000</v>
      </c>
      <c r="G42" s="97">
        <f t="shared" si="6"/>
        <v>5.9629358984466672</v>
      </c>
      <c r="H42" s="77"/>
      <c r="I42" s="78">
        <v>62040000</v>
      </c>
      <c r="J42" s="79">
        <v>22552043</v>
      </c>
      <c r="K42" s="79">
        <v>62040000</v>
      </c>
      <c r="L42" s="78">
        <v>40584000</v>
      </c>
    </row>
    <row r="43" spans="1:12" ht="31.5" thickBot="1" x14ac:dyDescent="0.25">
      <c r="A43" s="117" t="s">
        <v>55</v>
      </c>
      <c r="B43" s="118"/>
      <c r="C43" s="118"/>
      <c r="D43" s="83">
        <v>7</v>
      </c>
      <c r="E43" s="84"/>
      <c r="F43" s="85">
        <v>50000</v>
      </c>
      <c r="G43" s="94">
        <f t="shared" si="6"/>
        <v>3.5076093520274511E-3</v>
      </c>
      <c r="H43" s="87"/>
      <c r="I43" s="85">
        <v>50000</v>
      </c>
      <c r="J43" s="88">
        <v>25053</v>
      </c>
      <c r="K43" s="88">
        <v>50000</v>
      </c>
      <c r="L43" s="85">
        <v>47458</v>
      </c>
    </row>
    <row r="44" spans="1:12" ht="31.5" thickBot="1" x14ac:dyDescent="0.25">
      <c r="A44" s="23" t="s">
        <v>56</v>
      </c>
      <c r="B44" s="24"/>
      <c r="C44" s="25"/>
      <c r="D44" s="26">
        <v>5</v>
      </c>
      <c r="E44" s="27"/>
      <c r="F44" s="28">
        <f>SUM(F45:F48)</f>
        <v>38400000</v>
      </c>
      <c r="G44" s="29">
        <f t="shared" si="6"/>
        <v>2.6938439823570826</v>
      </c>
      <c r="H44" s="109"/>
      <c r="I44" s="28">
        <f t="shared" ref="I44:L44" si="7">SUM(I45:I48)</f>
        <v>30400000</v>
      </c>
      <c r="J44" s="31">
        <f t="shared" si="7"/>
        <v>4296417</v>
      </c>
      <c r="K44" s="31">
        <f t="shared" si="7"/>
        <v>30400000</v>
      </c>
      <c r="L44" s="28">
        <f t="shared" si="7"/>
        <v>12033530</v>
      </c>
    </row>
    <row r="45" spans="1:12" ht="30.75" x14ac:dyDescent="0.2">
      <c r="A45" s="148" t="s">
        <v>57</v>
      </c>
      <c r="B45" s="149"/>
      <c r="C45" s="150" t="s">
        <v>58</v>
      </c>
      <c r="D45" s="151">
        <v>5</v>
      </c>
      <c r="E45" s="152"/>
      <c r="F45" s="153">
        <f>'[1]یادداشت1-اعتبارات'!G26-'[1]منابع ومصارف'!D44-'[1]منابع ومصارف'!D45</f>
        <v>14400000</v>
      </c>
      <c r="G45" s="154">
        <f t="shared" si="6"/>
        <v>1.010191493383906</v>
      </c>
      <c r="H45" s="155"/>
      <c r="I45" s="153">
        <v>12200000</v>
      </c>
      <c r="J45" s="156">
        <v>80685</v>
      </c>
      <c r="K45" s="156">
        <f>I45</f>
        <v>12200000</v>
      </c>
      <c r="L45" s="153">
        <f>11985918-L48</f>
        <v>4796473</v>
      </c>
    </row>
    <row r="46" spans="1:12" ht="30.75" x14ac:dyDescent="0.2">
      <c r="A46" s="157"/>
      <c r="B46" s="158"/>
      <c r="C46" s="159" t="s">
        <v>59</v>
      </c>
      <c r="D46" s="160"/>
      <c r="E46" s="161"/>
      <c r="F46" s="162" t="s">
        <v>60</v>
      </c>
      <c r="G46" s="163"/>
      <c r="H46" s="164"/>
      <c r="I46" s="165" t="s">
        <v>60</v>
      </c>
      <c r="J46" s="166" t="s">
        <v>60</v>
      </c>
      <c r="K46" s="166" t="s">
        <v>60</v>
      </c>
      <c r="L46" s="114">
        <v>47612</v>
      </c>
    </row>
    <row r="47" spans="1:12" ht="30.75" x14ac:dyDescent="0.2">
      <c r="A47" s="125" t="s">
        <v>61</v>
      </c>
      <c r="B47" s="71"/>
      <c r="C47" s="167"/>
      <c r="D47" s="83">
        <v>5</v>
      </c>
      <c r="E47" s="84"/>
      <c r="F47" s="85">
        <f>'[1]یادداشت1-اعتبارات'!G14</f>
        <v>14400000</v>
      </c>
      <c r="G47" s="94">
        <f t="shared" si="6"/>
        <v>1.010191493383906</v>
      </c>
      <c r="H47" s="87"/>
      <c r="I47" s="85">
        <v>11000000</v>
      </c>
      <c r="J47" s="88">
        <v>0</v>
      </c>
      <c r="K47" s="88">
        <v>11000000</v>
      </c>
      <c r="L47" s="85">
        <f>L22</f>
        <v>0</v>
      </c>
    </row>
    <row r="48" spans="1:12" ht="31.5" thickBot="1" x14ac:dyDescent="0.25">
      <c r="A48" s="168" t="s">
        <v>45</v>
      </c>
      <c r="B48" s="169"/>
      <c r="C48" s="170"/>
      <c r="D48" s="83">
        <v>5</v>
      </c>
      <c r="E48" s="84"/>
      <c r="F48" s="85">
        <f>F34</f>
        <v>9600000</v>
      </c>
      <c r="G48" s="94">
        <f t="shared" si="6"/>
        <v>0.67346099558927064</v>
      </c>
      <c r="H48" s="87"/>
      <c r="I48" s="85">
        <v>7200000</v>
      </c>
      <c r="J48" s="88">
        <v>4215732</v>
      </c>
      <c r="K48" s="88">
        <f>K34</f>
        <v>7200000</v>
      </c>
      <c r="L48" s="85">
        <f>L34</f>
        <v>7189445</v>
      </c>
    </row>
    <row r="49" spans="1:12" ht="31.5" thickBot="1" x14ac:dyDescent="0.25">
      <c r="A49" s="107" t="s">
        <v>62</v>
      </c>
      <c r="B49" s="108"/>
      <c r="C49" s="108"/>
      <c r="D49" s="26">
        <v>11</v>
      </c>
      <c r="E49" s="27"/>
      <c r="F49" s="28">
        <f xml:space="preserve"> F50</f>
        <v>7797167</v>
      </c>
      <c r="G49" s="109">
        <f t="shared" si="6"/>
        <v>0.54698831777039658</v>
      </c>
      <c r="H49" s="109"/>
      <c r="I49" s="28">
        <f t="shared" ref="I49:L49" si="8">I50</f>
        <v>5569405</v>
      </c>
      <c r="J49" s="31">
        <f t="shared" si="8"/>
        <v>0</v>
      </c>
      <c r="K49" s="31">
        <f t="shared" si="8"/>
        <v>5569405</v>
      </c>
      <c r="L49" s="28">
        <f t="shared" si="8"/>
        <v>0</v>
      </c>
    </row>
    <row r="50" spans="1:12" ht="31.5" thickBot="1" x14ac:dyDescent="0.25">
      <c r="A50" s="168" t="s">
        <v>63</v>
      </c>
      <c r="B50" s="169"/>
      <c r="C50" s="171"/>
      <c r="D50" s="34">
        <v>11</v>
      </c>
      <c r="E50" s="35"/>
      <c r="F50" s="172">
        <f>'[1]یادداشت11-هزینه های مالی'!E7</f>
        <v>7797167</v>
      </c>
      <c r="G50" s="173">
        <f t="shared" si="6"/>
        <v>0.54698831777039658</v>
      </c>
      <c r="H50" s="173"/>
      <c r="I50" s="172">
        <f>'[1]یادداشت11-هزینه های مالی'!G7</f>
        <v>5569405</v>
      </c>
      <c r="J50" s="39">
        <v>0</v>
      </c>
      <c r="K50" s="39">
        <f>I50</f>
        <v>5569405</v>
      </c>
      <c r="L50" s="41">
        <v>0</v>
      </c>
    </row>
    <row r="51" spans="1:12" ht="31.5" thickBot="1" x14ac:dyDescent="0.25">
      <c r="A51" s="107" t="s">
        <v>64</v>
      </c>
      <c r="B51" s="108"/>
      <c r="C51" s="108"/>
      <c r="D51" s="26">
        <v>10</v>
      </c>
      <c r="E51" s="27"/>
      <c r="F51" s="28">
        <f t="shared" ref="F51:L51" si="9">F52</f>
        <v>1100000</v>
      </c>
      <c r="G51" s="29">
        <f t="shared" si="6"/>
        <v>7.7167405744603929E-2</v>
      </c>
      <c r="H51" s="109"/>
      <c r="I51" s="28">
        <f t="shared" si="9"/>
        <v>787172</v>
      </c>
      <c r="J51" s="31">
        <f t="shared" si="9"/>
        <v>205066</v>
      </c>
      <c r="K51" s="31">
        <f t="shared" si="9"/>
        <v>868193</v>
      </c>
      <c r="L51" s="28">
        <f t="shared" si="9"/>
        <v>883069</v>
      </c>
    </row>
    <row r="52" spans="1:12" ht="31.5" thickBot="1" x14ac:dyDescent="0.25">
      <c r="A52" s="174" t="s">
        <v>65</v>
      </c>
      <c r="B52" s="175"/>
      <c r="C52" s="175"/>
      <c r="D52" s="126" t="s">
        <v>66</v>
      </c>
      <c r="E52" s="127"/>
      <c r="F52" s="85">
        <f>'[1]یادداشت10-هزینه بیمه ای'!D13</f>
        <v>1100000</v>
      </c>
      <c r="G52" s="94">
        <f t="shared" si="6"/>
        <v>7.7167405744603929E-2</v>
      </c>
      <c r="H52" s="87"/>
      <c r="I52" s="85">
        <v>787172</v>
      </c>
      <c r="J52" s="88">
        <f>'[1]یادداشت10-هزینه بیمه ای'!H13</f>
        <v>205066</v>
      </c>
      <c r="K52" s="88">
        <v>868193</v>
      </c>
      <c r="L52" s="88">
        <f>'[1]یادداشت10-هزینه بیمه ای'!L13</f>
        <v>883069</v>
      </c>
    </row>
    <row r="53" spans="1:12" ht="31.5" thickBot="1" x14ac:dyDescent="0.25">
      <c r="A53" s="107" t="s">
        <v>67</v>
      </c>
      <c r="B53" s="108"/>
      <c r="C53" s="108"/>
      <c r="D53" s="26">
        <v>8</v>
      </c>
      <c r="E53" s="27"/>
      <c r="F53" s="28">
        <f>SUM(F54:F56)</f>
        <v>2809983.4000000004</v>
      </c>
      <c r="G53" s="29">
        <f t="shared" si="6"/>
        <v>0.19712648105763794</v>
      </c>
      <c r="H53" s="109"/>
      <c r="I53" s="28">
        <f t="shared" ref="I53:L53" si="10">SUM(I54:I56)</f>
        <v>1961589</v>
      </c>
      <c r="J53" s="31">
        <f t="shared" si="10"/>
        <v>772865</v>
      </c>
      <c r="K53" s="31">
        <f t="shared" si="10"/>
        <v>1961589</v>
      </c>
      <c r="L53" s="28">
        <f t="shared" si="10"/>
        <v>1404401</v>
      </c>
    </row>
    <row r="54" spans="1:12" ht="30.75" x14ac:dyDescent="0.2">
      <c r="A54" s="119" t="s">
        <v>68</v>
      </c>
      <c r="B54" s="120"/>
      <c r="C54" s="120"/>
      <c r="D54" s="144" t="s">
        <v>69</v>
      </c>
      <c r="E54" s="145"/>
      <c r="F54" s="114">
        <f>'[1]یادداشت8-هزینه های اداره طرح'!G6</f>
        <v>1603708.1000000003</v>
      </c>
      <c r="G54" s="115">
        <f t="shared" si="6"/>
        <v>0.11250363058964354</v>
      </c>
      <c r="H54" s="116"/>
      <c r="I54" s="114">
        <f>'[1]یادداشت1-8-هزینه های پرسنلی'!G19</f>
        <v>1215144</v>
      </c>
      <c r="J54" s="89">
        <f>'[1]یادداشت1-8-هزینه های پرسنلی'!I19</f>
        <v>581800</v>
      </c>
      <c r="K54" s="114">
        <v>1215144</v>
      </c>
      <c r="L54" s="89">
        <f>'[1]یادداشت1-8-هزینه های پرسنلی'!M19</f>
        <v>934832</v>
      </c>
    </row>
    <row r="55" spans="1:12" ht="30.75" x14ac:dyDescent="0.2">
      <c r="A55" s="122" t="s">
        <v>70</v>
      </c>
      <c r="B55" s="123"/>
      <c r="C55" s="123"/>
      <c r="D55" s="146" t="s">
        <v>71</v>
      </c>
      <c r="E55" s="145"/>
      <c r="F55" s="114">
        <f>'[1]یادداشت8-هزینه های اداره طرح'!G7</f>
        <v>38299.300000000003</v>
      </c>
      <c r="G55" s="115">
        <f t="shared" si="6"/>
        <v>2.6867796571220996E-3</v>
      </c>
      <c r="H55" s="116"/>
      <c r="I55" s="78">
        <f>'[1]یادداشت2-8-هزینه دارائی'!G10</f>
        <v>29461</v>
      </c>
      <c r="J55" s="79">
        <f>'[1]یادداشت2-8-هزینه دارائی'!I10</f>
        <v>6790</v>
      </c>
      <c r="K55" s="78">
        <v>29461</v>
      </c>
      <c r="L55" s="79">
        <f>'[1]یادداشت2-8-هزینه دارائی'!M10</f>
        <v>19809</v>
      </c>
    </row>
    <row r="56" spans="1:12" ht="31.5" thickBot="1" x14ac:dyDescent="0.25">
      <c r="A56" s="122" t="s">
        <v>72</v>
      </c>
      <c r="B56" s="123"/>
      <c r="C56" s="123"/>
      <c r="D56" s="146" t="s">
        <v>73</v>
      </c>
      <c r="E56" s="145"/>
      <c r="F56" s="114">
        <f>'[1]یادداشت8-هزینه های اداره طرح'!G8</f>
        <v>1167976</v>
      </c>
      <c r="G56" s="115">
        <f t="shared" si="6"/>
        <v>8.19360708108723E-2</v>
      </c>
      <c r="H56" s="116"/>
      <c r="I56" s="78">
        <v>716984</v>
      </c>
      <c r="J56" s="79">
        <f>'[1]یادداشت3-8-هزینه اداری'!H27</f>
        <v>184275</v>
      </c>
      <c r="K56" s="78">
        <v>716984</v>
      </c>
      <c r="L56" s="79">
        <f>'[1]یادداشت3-8-هزینه اداری'!L27</f>
        <v>449760</v>
      </c>
    </row>
    <row r="57" spans="1:12" ht="31.5" thickBot="1" x14ac:dyDescent="0.25">
      <c r="A57" s="107" t="s">
        <v>74</v>
      </c>
      <c r="B57" s="108"/>
      <c r="C57" s="108"/>
      <c r="D57" s="26">
        <v>9</v>
      </c>
      <c r="E57" s="27"/>
      <c r="F57" s="28">
        <f t="shared" ref="F57:L57" si="11">SUM(F58:F61)</f>
        <v>19179073</v>
      </c>
      <c r="G57" s="29">
        <f t="shared" si="6"/>
        <v>1.3454539163603438</v>
      </c>
      <c r="H57" s="109"/>
      <c r="I57" s="28">
        <f t="shared" si="11"/>
        <v>5261914.0543799996</v>
      </c>
      <c r="J57" s="31">
        <f t="shared" si="11"/>
        <v>369282</v>
      </c>
      <c r="K57" s="31">
        <f t="shared" si="11"/>
        <v>5261914.0543799996</v>
      </c>
      <c r="L57" s="28">
        <f t="shared" si="11"/>
        <v>1662593</v>
      </c>
    </row>
    <row r="58" spans="1:12" ht="30.75" x14ac:dyDescent="0.2">
      <c r="A58" s="110" t="s">
        <v>75</v>
      </c>
      <c r="B58" s="111"/>
      <c r="C58" s="111"/>
      <c r="D58" s="144" t="s">
        <v>76</v>
      </c>
      <c r="E58" s="145"/>
      <c r="F58" s="114">
        <f>'[1]یادداشت1-9-پرداخت سرمایه گذاری'!E22+'[1]یادداشت1-9-پرداخت سرمایه گذاری'!G22</f>
        <v>17005000</v>
      </c>
      <c r="G58" s="115">
        <f t="shared" si="6"/>
        <v>1.1929379406245362</v>
      </c>
      <c r="H58" s="116"/>
      <c r="I58" s="114">
        <v>4160701</v>
      </c>
      <c r="J58" s="89">
        <f>'[1]یادداشت1-9-پرداخت سرمایه گذاری'!M22+'[1]یادداشت1-9-پرداخت سرمایه گذاری'!O22</f>
        <v>340149</v>
      </c>
      <c r="K58" s="89">
        <v>4160701</v>
      </c>
      <c r="L58" s="114">
        <f>'[1]یادداشت1-9-پرداخت سرمایه گذاری'!U22</f>
        <v>1417392</v>
      </c>
    </row>
    <row r="59" spans="1:12" ht="30.75" x14ac:dyDescent="0.2">
      <c r="A59" s="122" t="s">
        <v>77</v>
      </c>
      <c r="B59" s="123"/>
      <c r="C59" s="123"/>
      <c r="D59" s="146" t="s">
        <v>78</v>
      </c>
      <c r="E59" s="147"/>
      <c r="F59" s="78">
        <f>'[1]یادداشت2-9-زمین ساختمان تاسیس '!F18</f>
        <v>501073</v>
      </c>
      <c r="G59" s="97">
        <f t="shared" si="6"/>
        <v>3.515136681696903E-2</v>
      </c>
      <c r="H59" s="77"/>
      <c r="I59" s="78">
        <v>501073</v>
      </c>
      <c r="J59" s="79">
        <f>'[1]یادداشت2-9-زمین ساختمان تاسیس '!J18</f>
        <v>35</v>
      </c>
      <c r="K59" s="79">
        <f>'[1]یادداشت2-9-زمین ساختمان تاسیس '!L18</f>
        <v>501073</v>
      </c>
      <c r="L59" s="79">
        <f>'[1]یادداشت2-9-زمین ساختمان تاسیس '!N18</f>
        <v>217476</v>
      </c>
    </row>
    <row r="60" spans="1:12" ht="30.75" x14ac:dyDescent="0.2">
      <c r="A60" s="122" t="s">
        <v>79</v>
      </c>
      <c r="B60" s="123"/>
      <c r="C60" s="123"/>
      <c r="D60" s="146" t="s">
        <v>80</v>
      </c>
      <c r="E60" s="147"/>
      <c r="F60" s="78">
        <f>'[1]یادداشت-3-9- اثاثیه اداری و '!E15</f>
        <v>173000</v>
      </c>
      <c r="G60" s="97">
        <f t="shared" si="6"/>
        <v>1.2136328358014982E-2</v>
      </c>
      <c r="H60" s="77"/>
      <c r="I60" s="78">
        <v>95610</v>
      </c>
      <c r="J60" s="79">
        <f>'[1]یادداشت-3-9- اثاثیه اداری و '!I15</f>
        <v>29098</v>
      </c>
      <c r="K60" s="79">
        <f>'[1]یادداشت-3-9- اثاثیه اداری و '!K15</f>
        <v>95610</v>
      </c>
      <c r="L60" s="79">
        <f>'[1]یادداشت-3-9- اثاثیه اداری و '!M15</f>
        <v>16602</v>
      </c>
    </row>
    <row r="61" spans="1:12" ht="31.5" thickBot="1" x14ac:dyDescent="0.25">
      <c r="A61" s="98" t="s">
        <v>81</v>
      </c>
      <c r="B61" s="99"/>
      <c r="C61" s="99"/>
      <c r="D61" s="126" t="s">
        <v>82</v>
      </c>
      <c r="E61" s="127"/>
      <c r="F61" s="85">
        <f>'[1]یادداشت4-9-هزینه بیمه ای'!F11</f>
        <v>1500000</v>
      </c>
      <c r="G61" s="94">
        <f t="shared" si="6"/>
        <v>0.10522828056082356</v>
      </c>
      <c r="H61" s="87"/>
      <c r="I61" s="85">
        <v>504530.05437999999</v>
      </c>
      <c r="J61" s="88">
        <f>'[1]یادداشت4-9-هزینه بیمه ای'!J11</f>
        <v>0</v>
      </c>
      <c r="K61" s="88">
        <f>'[1]یادداشت4-9-هزینه بیمه ای'!L11</f>
        <v>504530.05437999999</v>
      </c>
      <c r="L61" s="88">
        <f>'[1]یادداشت4-9-هزینه بیمه ای'!N11</f>
        <v>11123</v>
      </c>
    </row>
    <row r="62" spans="1:12" ht="31.5" thickBot="1" x14ac:dyDescent="0.25">
      <c r="A62" s="107" t="s">
        <v>83</v>
      </c>
      <c r="B62" s="108"/>
      <c r="C62" s="108"/>
      <c r="D62" s="26"/>
      <c r="E62" s="27"/>
      <c r="F62" s="28">
        <f>SUM(F63:F65)</f>
        <v>1475000</v>
      </c>
      <c r="G62" s="29">
        <f t="shared" si="6"/>
        <v>0.10347447588480983</v>
      </c>
      <c r="H62" s="109"/>
      <c r="I62" s="28">
        <f t="shared" ref="I62:L62" si="12">SUM(I63:I65)</f>
        <v>950000</v>
      </c>
      <c r="J62" s="31">
        <f t="shared" si="12"/>
        <v>7384</v>
      </c>
      <c r="K62" s="31">
        <f t="shared" si="12"/>
        <v>949999.7</v>
      </c>
      <c r="L62" s="28">
        <f t="shared" si="12"/>
        <v>900000</v>
      </c>
    </row>
    <row r="63" spans="1:12" ht="30.75" x14ac:dyDescent="0.2">
      <c r="A63" s="110" t="s">
        <v>84</v>
      </c>
      <c r="B63" s="111"/>
      <c r="C63" s="111"/>
      <c r="D63" s="112">
        <v>3</v>
      </c>
      <c r="E63" s="113"/>
      <c r="F63" s="114">
        <f>6500*150000000/1000000</f>
        <v>975000</v>
      </c>
      <c r="G63" s="115">
        <f t="shared" si="6"/>
        <v>6.8398382364535312E-2</v>
      </c>
      <c r="H63" s="116"/>
      <c r="I63" s="114">
        <v>450000</v>
      </c>
      <c r="J63" s="89">
        <v>7384</v>
      </c>
      <c r="K63" s="89">
        <v>450000</v>
      </c>
      <c r="L63" s="114">
        <v>400000</v>
      </c>
    </row>
    <row r="64" spans="1:12" ht="30.75" x14ac:dyDescent="0.2">
      <c r="A64" s="122" t="s">
        <v>85</v>
      </c>
      <c r="B64" s="123"/>
      <c r="C64" s="123"/>
      <c r="D64" s="73"/>
      <c r="E64" s="96"/>
      <c r="F64" s="78">
        <v>0</v>
      </c>
      <c r="G64" s="97">
        <f t="shared" si="6"/>
        <v>0</v>
      </c>
      <c r="H64" s="77"/>
      <c r="I64" s="78">
        <v>0</v>
      </c>
      <c r="J64" s="79">
        <v>0</v>
      </c>
      <c r="K64" s="79">
        <v>0</v>
      </c>
      <c r="L64" s="78">
        <v>0</v>
      </c>
    </row>
    <row r="65" spans="1:12" ht="31.5" thickBot="1" x14ac:dyDescent="0.25">
      <c r="A65" s="98" t="s">
        <v>86</v>
      </c>
      <c r="B65" s="99"/>
      <c r="C65" s="99"/>
      <c r="D65" s="83"/>
      <c r="E65" s="84"/>
      <c r="F65" s="85">
        <v>500000</v>
      </c>
      <c r="G65" s="94">
        <f t="shared" si="6"/>
        <v>3.5076093520274514E-2</v>
      </c>
      <c r="H65" s="87"/>
      <c r="I65" s="85">
        <v>500000</v>
      </c>
      <c r="J65" s="88">
        <v>0</v>
      </c>
      <c r="K65" s="88">
        <f>500000-0.3</f>
        <v>499999.7</v>
      </c>
      <c r="L65" s="103">
        <v>500000</v>
      </c>
    </row>
    <row r="66" spans="1:12" ht="31.5" thickBot="1" x14ac:dyDescent="0.25">
      <c r="A66" s="128" t="s">
        <v>87</v>
      </c>
      <c r="B66" s="129"/>
      <c r="C66" s="129"/>
      <c r="D66" s="176"/>
      <c r="E66" s="177"/>
      <c r="F66" s="132">
        <f>F37+F44+F49+F51+F53+F57+F62</f>
        <v>1425472308.4000001</v>
      </c>
      <c r="G66" s="133">
        <f t="shared" si="6"/>
        <v>100</v>
      </c>
      <c r="H66" s="134"/>
      <c r="I66" s="132">
        <f>I37+I44+I49+I51+I53+I57+I62</f>
        <v>926848948.05437994</v>
      </c>
      <c r="J66" s="135">
        <f>J37+J44+J49+J51+J53+J57+J62</f>
        <v>438373149</v>
      </c>
      <c r="K66" s="135">
        <f>K37+K44+K49+K51+K53+K57+K62</f>
        <v>926929968.75437999</v>
      </c>
      <c r="L66" s="132">
        <f>L37+L44+L49+L51+L53+L57+L62</f>
        <v>561888162</v>
      </c>
    </row>
    <row r="67" spans="1:12" ht="27.75" thickBot="1" x14ac:dyDescent="0.25">
      <c r="A67" s="178"/>
      <c r="B67" s="178"/>
      <c r="C67" s="178"/>
      <c r="D67" s="179"/>
      <c r="E67" s="179"/>
      <c r="F67" s="180"/>
      <c r="G67" s="181"/>
      <c r="H67" s="181"/>
      <c r="I67" s="182"/>
      <c r="J67" s="182"/>
      <c r="K67" s="182"/>
      <c r="L67" s="183"/>
    </row>
    <row r="68" spans="1:12" ht="27" thickBot="1" x14ac:dyDescent="0.25">
      <c r="A68" s="184" t="s">
        <v>88</v>
      </c>
      <c r="B68" s="185"/>
      <c r="C68" s="186"/>
      <c r="D68" s="187"/>
      <c r="E68" s="188"/>
      <c r="F68" s="189">
        <f>F66-F35</f>
        <v>0.40000009536743164</v>
      </c>
      <c r="G68" s="190"/>
      <c r="H68" s="191"/>
      <c r="I68" s="192">
        <f>I66-I35</f>
        <v>5.4379940032958984E-2</v>
      </c>
      <c r="J68" s="193">
        <f>J66-J35</f>
        <v>-0.43333327770233154</v>
      </c>
      <c r="K68" s="193">
        <f>K66-K35+0.4</f>
        <v>0.15437998771667483</v>
      </c>
      <c r="L68" s="193">
        <f>L66-L35</f>
        <v>0</v>
      </c>
    </row>
    <row r="69" spans="1:12" x14ac:dyDescent="0.2">
      <c r="A69" s="1"/>
      <c r="B69" s="1"/>
      <c r="C69" s="1"/>
      <c r="D69" s="194"/>
      <c r="E69" s="194"/>
      <c r="F69" s="194"/>
      <c r="G69" s="194"/>
      <c r="H69" s="194"/>
      <c r="I69" s="194"/>
      <c r="J69" s="194"/>
      <c r="K69" s="194"/>
      <c r="L69" s="195"/>
    </row>
    <row r="70" spans="1:12" ht="39.75" x14ac:dyDescent="0.2">
      <c r="A70" s="196"/>
      <c r="B70" s="196"/>
      <c r="C70" s="1"/>
      <c r="D70" s="197"/>
      <c r="E70" s="197"/>
      <c r="F70" s="198">
        <v>4</v>
      </c>
      <c r="G70" s="194"/>
      <c r="H70" s="194"/>
      <c r="I70" s="194"/>
      <c r="J70" s="194"/>
      <c r="K70" s="194"/>
      <c r="L70" s="195"/>
    </row>
  </sheetData>
  <mergeCells count="64">
    <mergeCell ref="A62:C62"/>
    <mergeCell ref="A63:C63"/>
    <mergeCell ref="A64:C64"/>
    <mergeCell ref="A65:C65"/>
    <mergeCell ref="A66:C66"/>
    <mergeCell ref="A68:C68"/>
    <mergeCell ref="A56:C56"/>
    <mergeCell ref="A57:C57"/>
    <mergeCell ref="A58:C58"/>
    <mergeCell ref="A59:C59"/>
    <mergeCell ref="A60:C60"/>
    <mergeCell ref="A61:C61"/>
    <mergeCell ref="A49:C49"/>
    <mergeCell ref="A51:C51"/>
    <mergeCell ref="A52:C52"/>
    <mergeCell ref="A53:C53"/>
    <mergeCell ref="A54:C54"/>
    <mergeCell ref="A55:C55"/>
    <mergeCell ref="A39:C39"/>
    <mergeCell ref="A40:C40"/>
    <mergeCell ref="A41:C41"/>
    <mergeCell ref="A42:C42"/>
    <mergeCell ref="A43:C43"/>
    <mergeCell ref="A45:B46"/>
    <mergeCell ref="A28:C28"/>
    <mergeCell ref="A29:C29"/>
    <mergeCell ref="A34:C34"/>
    <mergeCell ref="A35:C35"/>
    <mergeCell ref="A36:C36"/>
    <mergeCell ref="A38:C38"/>
    <mergeCell ref="A22:C22"/>
    <mergeCell ref="A23:C23"/>
    <mergeCell ref="A24:C24"/>
    <mergeCell ref="A25:C25"/>
    <mergeCell ref="A26:C26"/>
    <mergeCell ref="A27:C27"/>
    <mergeCell ref="E14:F14"/>
    <mergeCell ref="H14:I14"/>
    <mergeCell ref="E15:F15"/>
    <mergeCell ref="H15:I15"/>
    <mergeCell ref="E16:F16"/>
    <mergeCell ref="H16:I16"/>
    <mergeCell ref="E11:F11"/>
    <mergeCell ref="H11:I11"/>
    <mergeCell ref="E12:F12"/>
    <mergeCell ref="H12:I12"/>
    <mergeCell ref="E13:F13"/>
    <mergeCell ref="H13:I13"/>
    <mergeCell ref="A5:C5"/>
    <mergeCell ref="E8:F8"/>
    <mergeCell ref="H8:I8"/>
    <mergeCell ref="E9:F9"/>
    <mergeCell ref="H9:I9"/>
    <mergeCell ref="E10:F10"/>
    <mergeCell ref="H10:I10"/>
    <mergeCell ref="C1:L1"/>
    <mergeCell ref="A3:C4"/>
    <mergeCell ref="D3:D4"/>
    <mergeCell ref="F3:F4"/>
    <mergeCell ref="G3:G4"/>
    <mergeCell ref="I3:I4"/>
    <mergeCell ref="J3:J4"/>
    <mergeCell ref="K3:K4"/>
    <mergeCell ref="L3:L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نسرین حسینی نیا</dc:creator>
  <cp:lastModifiedBy>نسرین حسینی نیا</cp:lastModifiedBy>
  <dcterms:created xsi:type="dcterms:W3CDTF">2021-11-03T12:36:05Z</dcterms:created>
  <dcterms:modified xsi:type="dcterms:W3CDTF">2021-11-03T12:38:10Z</dcterms:modified>
</cp:coreProperties>
</file>