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98" sheetId="1" r:id="rId1"/>
    <sheet name="99" sheetId="2" r:id="rId2"/>
  </sheets>
  <externalReferences>
    <externalReference r:id="rId3"/>
    <externalReference r:id="rId4"/>
  </externalReferences>
  <calcPr calcId="122211" calcMode="manual" calcCompleted="0" calcOnSave="0"/>
</workbook>
</file>

<file path=xl/calcChain.xml><?xml version="1.0" encoding="utf-8"?>
<calcChain xmlns="http://schemas.openxmlformats.org/spreadsheetml/2006/main">
  <c r="I64" i="2" l="1"/>
  <c r="G64" i="2"/>
  <c r="F64" i="2"/>
  <c r="E64" i="2"/>
  <c r="I62" i="2"/>
  <c r="G62" i="2"/>
  <c r="F62" i="2"/>
  <c r="E62" i="2"/>
  <c r="K61" i="2"/>
  <c r="I61" i="2"/>
  <c r="G61" i="2"/>
  <c r="F61" i="2"/>
  <c r="E61" i="2"/>
  <c r="K60" i="2"/>
  <c r="I60" i="2"/>
  <c r="K58" i="2"/>
  <c r="I58" i="2"/>
  <c r="G58" i="2"/>
  <c r="K57" i="2"/>
  <c r="I57" i="2"/>
  <c r="G57" i="2"/>
  <c r="F57" i="2"/>
  <c r="E57" i="2"/>
  <c r="K56" i="2"/>
  <c r="I56" i="2"/>
  <c r="G56" i="2"/>
  <c r="F56" i="2"/>
  <c r="E56" i="2"/>
  <c r="K55" i="2"/>
  <c r="I55" i="2"/>
  <c r="G55" i="2"/>
  <c r="F55" i="2"/>
  <c r="E55" i="2"/>
  <c r="K54" i="2"/>
  <c r="I54" i="2"/>
  <c r="G54" i="2"/>
  <c r="F54" i="2"/>
  <c r="E54" i="2"/>
  <c r="K53" i="2"/>
  <c r="I53" i="2"/>
  <c r="G53" i="2"/>
  <c r="F53" i="2"/>
  <c r="E53" i="2"/>
  <c r="K52" i="2"/>
  <c r="I52" i="2"/>
  <c r="G52" i="2"/>
  <c r="F52" i="2"/>
  <c r="E52" i="2"/>
  <c r="K51" i="2"/>
  <c r="I51" i="2"/>
  <c r="G51" i="2"/>
  <c r="F51" i="2"/>
  <c r="E51" i="2"/>
  <c r="K50" i="2"/>
  <c r="I50" i="2"/>
  <c r="G50" i="2"/>
  <c r="F50" i="2"/>
  <c r="E50" i="2"/>
  <c r="K49" i="2"/>
  <c r="I49" i="2"/>
  <c r="G49" i="2"/>
  <c r="F49" i="2"/>
  <c r="E49" i="2"/>
  <c r="K48" i="2"/>
  <c r="I48" i="2"/>
  <c r="G48" i="2"/>
  <c r="F48" i="2"/>
  <c r="E48" i="2"/>
  <c r="K47" i="2"/>
  <c r="I47" i="2"/>
  <c r="G47" i="2"/>
  <c r="F47" i="2"/>
  <c r="E47" i="2"/>
  <c r="K46" i="2"/>
  <c r="I46" i="2"/>
  <c r="G46" i="2"/>
  <c r="F46" i="2"/>
  <c r="E46" i="2"/>
  <c r="G44" i="2"/>
  <c r="F44" i="2"/>
  <c r="E44" i="2"/>
  <c r="K43" i="2"/>
  <c r="I43" i="2"/>
  <c r="G43" i="2"/>
  <c r="F43" i="2"/>
  <c r="E43" i="2"/>
  <c r="G42" i="2"/>
  <c r="F42" i="2"/>
  <c r="E42" i="2"/>
  <c r="K40" i="2"/>
  <c r="I40" i="2"/>
  <c r="G40" i="2"/>
  <c r="F40" i="2"/>
  <c r="E40" i="2"/>
  <c r="K39" i="2"/>
  <c r="I39" i="2"/>
  <c r="G39" i="2"/>
  <c r="F39" i="2"/>
  <c r="E39" i="2"/>
  <c r="K38" i="2"/>
  <c r="I38" i="2"/>
  <c r="K37" i="2"/>
  <c r="I37" i="2"/>
  <c r="G37" i="2"/>
  <c r="K35" i="2"/>
  <c r="I35" i="2"/>
  <c r="K34" i="2"/>
  <c r="I34" i="2"/>
  <c r="G34" i="2"/>
  <c r="K33" i="2"/>
  <c r="I33" i="2"/>
  <c r="G33" i="2"/>
  <c r="K32" i="2"/>
  <c r="I32" i="2"/>
  <c r="G32" i="2"/>
  <c r="F32" i="2"/>
  <c r="E32" i="2"/>
  <c r="K30" i="2"/>
  <c r="I30" i="2"/>
  <c r="G30" i="2"/>
  <c r="F30" i="2"/>
  <c r="E30" i="2"/>
  <c r="K29" i="2"/>
  <c r="I29" i="2"/>
  <c r="C27" i="2"/>
  <c r="C26" i="2"/>
  <c r="K25" i="2"/>
  <c r="I25" i="2"/>
  <c r="G25" i="2"/>
  <c r="F25" i="2"/>
  <c r="E25" i="2"/>
  <c r="K23" i="2"/>
  <c r="I23" i="2"/>
  <c r="G23" i="2"/>
  <c r="F23" i="2"/>
  <c r="E23" i="2"/>
  <c r="K22" i="2"/>
  <c r="I22" i="2"/>
  <c r="K21" i="2"/>
  <c r="I21" i="2"/>
  <c r="G21" i="2"/>
  <c r="K20" i="2"/>
  <c r="I20" i="2"/>
  <c r="G20" i="2"/>
  <c r="F20" i="2"/>
  <c r="E20" i="2"/>
  <c r="K19" i="2"/>
  <c r="I19" i="2"/>
  <c r="K18" i="2"/>
  <c r="I18" i="2"/>
  <c r="E18" i="2"/>
  <c r="K17" i="2"/>
  <c r="I17" i="2"/>
  <c r="G17" i="2"/>
  <c r="F17" i="2"/>
  <c r="E17" i="2"/>
  <c r="K14" i="2"/>
  <c r="I14" i="2"/>
  <c r="K10" i="2"/>
  <c r="I10" i="2"/>
  <c r="K9" i="2"/>
  <c r="I9" i="2"/>
  <c r="K8" i="2"/>
  <c r="I8" i="2"/>
  <c r="K7" i="2"/>
  <c r="I7" i="2"/>
  <c r="G7" i="2"/>
  <c r="K6" i="2"/>
  <c r="I6" i="2"/>
  <c r="G6" i="2"/>
  <c r="K5" i="2"/>
  <c r="I5" i="2"/>
  <c r="E5" i="2"/>
  <c r="K4" i="2"/>
  <c r="I4" i="2"/>
  <c r="G4" i="2"/>
  <c r="F4" i="2"/>
  <c r="E4" i="2"/>
  <c r="G65" i="2"/>
  <c r="E65" i="2"/>
  <c r="C65" i="2"/>
  <c r="J43" i="1"/>
  <c r="H43" i="1"/>
  <c r="G43" i="1"/>
  <c r="F43" i="1"/>
  <c r="D43" i="1"/>
  <c r="C43" i="1"/>
  <c r="B43" i="1"/>
  <c r="J42" i="1"/>
  <c r="G42" i="1"/>
  <c r="F42" i="1"/>
  <c r="C42" i="1"/>
  <c r="G41" i="1"/>
  <c r="C41" i="1"/>
  <c r="J40" i="1"/>
  <c r="G40" i="1"/>
  <c r="F40" i="1"/>
  <c r="C40" i="1"/>
  <c r="J39" i="1"/>
  <c r="G39" i="1"/>
  <c r="F39" i="1"/>
  <c r="C39" i="1"/>
  <c r="B39" i="1"/>
  <c r="J38" i="1"/>
  <c r="H38" i="1"/>
  <c r="G38" i="1"/>
  <c r="F38" i="1"/>
  <c r="D38" i="1"/>
  <c r="C38" i="1"/>
  <c r="G37" i="1"/>
  <c r="C37" i="1"/>
  <c r="J36" i="1"/>
  <c r="H36" i="1"/>
  <c r="G36" i="1"/>
  <c r="F36" i="1"/>
  <c r="D36" i="1"/>
  <c r="C36" i="1"/>
  <c r="B36" i="1"/>
  <c r="J35" i="1"/>
  <c r="H35" i="1"/>
  <c r="G35" i="1"/>
  <c r="F35" i="1"/>
  <c r="D35" i="1"/>
  <c r="C35" i="1"/>
  <c r="J34" i="1"/>
  <c r="G34" i="1"/>
  <c r="F34" i="1"/>
  <c r="C34" i="1"/>
  <c r="J33" i="1"/>
  <c r="H33" i="1"/>
  <c r="G33" i="1"/>
  <c r="F33" i="1"/>
  <c r="D33" i="1"/>
  <c r="C33" i="1"/>
  <c r="J32" i="1"/>
  <c r="G32" i="1"/>
  <c r="F32" i="1"/>
  <c r="C32" i="1"/>
  <c r="J31" i="1"/>
  <c r="H31" i="1"/>
  <c r="G31" i="1"/>
  <c r="F31" i="1"/>
  <c r="D31" i="1"/>
  <c r="C31" i="1"/>
  <c r="B31" i="1"/>
  <c r="J30" i="1"/>
  <c r="H30" i="1"/>
  <c r="G30" i="1"/>
  <c r="F30" i="1"/>
  <c r="D30" i="1"/>
  <c r="C30" i="1"/>
  <c r="B30" i="1"/>
  <c r="J29" i="1"/>
  <c r="H29" i="1"/>
  <c r="G29" i="1"/>
  <c r="F29" i="1"/>
  <c r="D29" i="1"/>
  <c r="C29" i="1"/>
  <c r="B29" i="1"/>
  <c r="J28" i="1"/>
  <c r="G28" i="1"/>
  <c r="F28" i="1"/>
  <c r="C28" i="1"/>
  <c r="B28" i="1"/>
  <c r="J27" i="1"/>
  <c r="H27" i="1"/>
  <c r="G27" i="1"/>
  <c r="F27" i="1"/>
  <c r="D27" i="1"/>
  <c r="C27" i="1"/>
  <c r="B27" i="1"/>
  <c r="J26" i="1"/>
  <c r="H26" i="1"/>
  <c r="G26" i="1"/>
  <c r="F26" i="1"/>
  <c r="D26" i="1"/>
  <c r="C26" i="1"/>
  <c r="B26" i="1"/>
  <c r="J25" i="1"/>
  <c r="G25" i="1"/>
  <c r="F25" i="1"/>
  <c r="C25" i="1"/>
  <c r="J24" i="1"/>
  <c r="H24" i="1"/>
  <c r="G24" i="1"/>
  <c r="F24" i="1"/>
  <c r="D24" i="1"/>
  <c r="C24" i="1"/>
  <c r="H23" i="1"/>
  <c r="G23" i="1"/>
  <c r="D23" i="1"/>
  <c r="C23" i="1"/>
  <c r="J22" i="1"/>
  <c r="H22" i="1"/>
  <c r="G22" i="1"/>
  <c r="F22" i="1"/>
  <c r="D22" i="1"/>
  <c r="C22" i="1"/>
  <c r="J21" i="1"/>
  <c r="H21" i="1"/>
  <c r="G21" i="1"/>
  <c r="F21" i="1"/>
  <c r="D21" i="1"/>
  <c r="C21" i="1"/>
  <c r="B21" i="1"/>
  <c r="J19" i="1"/>
  <c r="H19" i="1"/>
  <c r="G19" i="1"/>
  <c r="F19" i="1"/>
  <c r="D19" i="1"/>
  <c r="C19" i="1"/>
  <c r="B19" i="1"/>
  <c r="J18" i="1"/>
  <c r="G18" i="1"/>
  <c r="F18" i="1"/>
  <c r="C18" i="1"/>
  <c r="B18" i="1"/>
  <c r="J17" i="1"/>
  <c r="F17" i="1"/>
  <c r="B17" i="1"/>
  <c r="J16" i="1"/>
  <c r="G16" i="1"/>
  <c r="F16" i="1"/>
  <c r="C16" i="1"/>
  <c r="J15" i="1"/>
  <c r="G15" i="1"/>
  <c r="F15" i="1"/>
  <c r="C15" i="1"/>
  <c r="J14" i="1"/>
  <c r="G14" i="1"/>
  <c r="F14" i="1"/>
  <c r="C14" i="1"/>
  <c r="J13" i="1"/>
  <c r="F13" i="1"/>
  <c r="D13" i="1"/>
  <c r="J12" i="1"/>
  <c r="G12" i="1"/>
  <c r="F12" i="1"/>
  <c r="D12" i="1"/>
  <c r="C12" i="1"/>
  <c r="H11" i="1"/>
  <c r="G11" i="1"/>
  <c r="D11" i="1"/>
  <c r="C11" i="1"/>
  <c r="J10" i="1"/>
  <c r="H10" i="1"/>
  <c r="G10" i="1"/>
  <c r="F10" i="1"/>
  <c r="D10" i="1"/>
  <c r="C10" i="1"/>
  <c r="B10" i="1"/>
  <c r="J7" i="1"/>
  <c r="H7" i="1"/>
  <c r="G7" i="1"/>
  <c r="F7" i="1"/>
  <c r="D7" i="1"/>
  <c r="C7" i="1"/>
  <c r="B7" i="1"/>
</calcChain>
</file>

<file path=xl/sharedStrings.xml><?xml version="1.0" encoding="utf-8"?>
<sst xmlns="http://schemas.openxmlformats.org/spreadsheetml/2006/main" count="333" uniqueCount="112">
  <si>
    <t xml:space="preserve"> </t>
  </si>
  <si>
    <t xml:space="preserve">صندوق بازنشستگی کشوری </t>
  </si>
  <si>
    <t>منابع و مصارف وجوه</t>
  </si>
  <si>
    <t xml:space="preserve">سال 1398 </t>
  </si>
  <si>
    <t xml:space="preserve">ارقام به میلیون ریال </t>
  </si>
  <si>
    <t xml:space="preserve">شرح </t>
  </si>
  <si>
    <t xml:space="preserve"> بودجه </t>
  </si>
  <si>
    <t xml:space="preserve">بودجه   </t>
  </si>
  <si>
    <t xml:space="preserve">عملکرد </t>
  </si>
  <si>
    <t>نسبت عملکرد به بودجه  3ماهه اول</t>
  </si>
  <si>
    <t>نسبت عملکرد به بودجه 6ماهه اول</t>
  </si>
  <si>
    <t>یکساله</t>
  </si>
  <si>
    <t xml:space="preserve"> 3ماهه اول</t>
  </si>
  <si>
    <t>3ماهه اول</t>
  </si>
  <si>
    <t xml:space="preserve"> 6ماهه اول</t>
  </si>
  <si>
    <t>6ماهه اول</t>
  </si>
  <si>
    <t>منابع :</t>
  </si>
  <si>
    <t>اعتباردولتی-دریافت بابت کمک دولت</t>
  </si>
  <si>
    <t>%</t>
  </si>
  <si>
    <t xml:space="preserve">اعتباردولتی-ده درصد افزایش قانونی </t>
  </si>
  <si>
    <t>اعتباردولتی-کسری پرداخت حقوق - ماده 100 ق ا ک</t>
  </si>
  <si>
    <t xml:space="preserve">جمع کمک دولت </t>
  </si>
  <si>
    <t xml:space="preserve">اعتباردولتی-بابت همسان سازی </t>
  </si>
  <si>
    <t xml:space="preserve">کسور بازنشستگی </t>
  </si>
  <si>
    <t>مقرری ماه اول</t>
  </si>
  <si>
    <t xml:space="preserve">اعتباردولتی-دریافت بابت عائله مندی و اولاد و عیدی </t>
  </si>
  <si>
    <t xml:space="preserve">دریافت بابت بیمه عمر و حادثه </t>
  </si>
  <si>
    <t>انتقال کسور از سایر صندوقها</t>
  </si>
  <si>
    <t>درآمد حاصل از سرمایه گذاریها</t>
  </si>
  <si>
    <t>بیمه مکمل درمان سهم بازنشسته</t>
  </si>
  <si>
    <t xml:space="preserve">جمع منابع </t>
  </si>
  <si>
    <t>مصارف :</t>
  </si>
  <si>
    <t>تعهدات قانونی :</t>
  </si>
  <si>
    <t>هزینه حقوق بازنشستگان و موظفین</t>
  </si>
  <si>
    <t xml:space="preserve">بابت همسان سازی </t>
  </si>
  <si>
    <t>پرداخت بابت عائله مندی و اولاد و عیدی</t>
  </si>
  <si>
    <t>استرداد کسور - انتقال کسور و اشتباه واریزی</t>
  </si>
  <si>
    <t xml:space="preserve">هزینه اداره طرح : </t>
  </si>
  <si>
    <t xml:space="preserve">هزینه های پرسنلی </t>
  </si>
  <si>
    <t>هزینه تعمیر و نگهداری</t>
  </si>
  <si>
    <t xml:space="preserve">هزینه های عمومی و اداری </t>
  </si>
  <si>
    <t xml:space="preserve">سایر هزینه های رفاهی بازنشستگان و موظفین </t>
  </si>
  <si>
    <t xml:space="preserve">هزینه های سرمایه ای </t>
  </si>
  <si>
    <t xml:space="preserve">پرداخت بابت سرمایه گذاری </t>
  </si>
  <si>
    <t xml:space="preserve">زمین ، ساختمان و تاسیسات </t>
  </si>
  <si>
    <t xml:space="preserve">اثاثیه اداری و وسائط نقلیه </t>
  </si>
  <si>
    <t>خانه فرهنگ امید</t>
  </si>
  <si>
    <t xml:space="preserve">بیمه مکمل درمان </t>
  </si>
  <si>
    <t xml:space="preserve">بیمه مکمل درمان سهم دولت </t>
  </si>
  <si>
    <t>بیمه مکمل درمان سهم صندوق+سهم بازنشسته</t>
  </si>
  <si>
    <t>سایر:</t>
  </si>
  <si>
    <t xml:space="preserve">پرداخت غرامت فوت </t>
  </si>
  <si>
    <t xml:space="preserve">وجوه اداره شده </t>
  </si>
  <si>
    <t xml:space="preserve">پرداخت بدهیها </t>
  </si>
  <si>
    <t xml:space="preserve">جمع مصارف </t>
  </si>
  <si>
    <t>یادداشت 
توضیحی</t>
  </si>
  <si>
    <t>عملکرد 
سال 1398</t>
  </si>
  <si>
    <t>بودجه مصوب 
سال 1398</t>
  </si>
  <si>
    <t>عملکرد 
سال  1397</t>
  </si>
  <si>
    <t>تغییرات عملکرد98 نسبت به عملکرد97</t>
  </si>
  <si>
    <t xml:space="preserve">     تغییرات         سال 99      نسبت به عملکرد98</t>
  </si>
  <si>
    <t>*</t>
  </si>
  <si>
    <t>1-1-1</t>
  </si>
  <si>
    <t>1-1-3</t>
  </si>
  <si>
    <t>1-1-2</t>
  </si>
  <si>
    <t>9-1</t>
  </si>
  <si>
    <t>1-1</t>
  </si>
  <si>
    <t>10</t>
  </si>
  <si>
    <t>8-1</t>
  </si>
  <si>
    <t>8-2</t>
  </si>
  <si>
    <t>8-3</t>
  </si>
  <si>
    <t>9-2</t>
  </si>
  <si>
    <t>9-3</t>
  </si>
  <si>
    <t>9-4</t>
  </si>
  <si>
    <t xml:space="preserve">شــــرح </t>
  </si>
  <si>
    <t xml:space="preserve">جمع اعتبار دولتی دریافتی </t>
  </si>
  <si>
    <t>اعتباردولتی-دریافت شذه 
 بابت کمک دولت</t>
  </si>
  <si>
    <r>
      <t>دریافت بابت کمک دولت-</t>
    </r>
    <r>
      <rPr>
        <b/>
        <u/>
        <sz val="14"/>
        <color indexed="8"/>
        <rFont val="B Zar"/>
        <charset val="178"/>
      </rPr>
      <t>تعهد صندوق</t>
    </r>
  </si>
  <si>
    <t>اجرای قانون مدیریت خدمات کشوری-تعهد دولت</t>
  </si>
  <si>
    <t>حقوق بازنشستگان قبل از سال 1354-تعهد دولت</t>
  </si>
  <si>
    <t xml:space="preserve">بابت همسان سازی سال 1396-تعهد دولت </t>
  </si>
  <si>
    <t>بابت همسان سازی سال 1397-تعهد دولت</t>
  </si>
  <si>
    <t>بابت همسان سازی سال 1398- تعهد دولت</t>
  </si>
  <si>
    <t>بابت همسان سازی سال 1399-تعهد دولت</t>
  </si>
  <si>
    <t>تا ده درصد افزایش قانونی درتامین پرداخت حقوق-تعهد دولت</t>
  </si>
  <si>
    <t>کسری پرداخت حقوق- ماده100ق ا ک-تعهددولت</t>
  </si>
  <si>
    <t xml:space="preserve">اعتباردولتی-دریافت بابت عائله مندی و اولاد وعیدی و... بازنشستگان و موظفین-تعهد دولت </t>
  </si>
  <si>
    <t>افزایش50% حق عائله واولاد بازنشستگان ازمحل تا ده درصد افزایش قانونی اعتبار-تعهد دولت</t>
  </si>
  <si>
    <t xml:space="preserve">اعتبار دولتی - بیمه مکمل درمان سهم دولت </t>
  </si>
  <si>
    <t xml:space="preserve">جمع کسور بازنشستگی  </t>
  </si>
  <si>
    <t xml:space="preserve">جمع سایر منابع مالی   </t>
  </si>
  <si>
    <t xml:space="preserve">درآمد حاصل از سرمایه گذاریها - مطالبات معوق سود سهام شرکتها منظور درافزایش سرمایه شرکتها </t>
  </si>
  <si>
    <t xml:space="preserve">وصول مطالبات معوق از شرکتها و سایر منابع </t>
  </si>
  <si>
    <t>واگذاری سهام - اجرای همسان سازی حقوق از مهرماه 1399</t>
  </si>
  <si>
    <t>ازمحل فروش سهام- به حساب سهام واگذاری به صندوق</t>
  </si>
  <si>
    <t>مابقی سهام واگذاری  بابت همسانسازی</t>
  </si>
  <si>
    <t>خط اعتباری</t>
  </si>
  <si>
    <t>همسان سازی حقوق بازنشستگی  سالهای قبل</t>
  </si>
  <si>
    <t xml:space="preserve">همسان سازی حقوق بازنشستگی- سال جاری </t>
  </si>
  <si>
    <t>همسان سازی حقوق بازنشستگی- سال جاری -اجرا از مهر ماه</t>
  </si>
  <si>
    <t>استرداد کسور- انتقال کسور-اشتباه واریزی</t>
  </si>
  <si>
    <t xml:space="preserve">هزینه بیمه مکمل درمان بازنشستگان و موظفین </t>
  </si>
  <si>
    <t>بیمه مکمل درمان سهم صندوق</t>
  </si>
  <si>
    <t xml:space="preserve">بیمه تکمیلی درمان </t>
  </si>
  <si>
    <t>کمک هزینه عصا ، عینک ، سمعک و...</t>
  </si>
  <si>
    <t>بیمه مکمل درمان سهم دولت</t>
  </si>
  <si>
    <t xml:space="preserve">هزینه های مالی </t>
  </si>
  <si>
    <t xml:space="preserve">هزینه مالی-اقساط (اصل و سود ) پرداختی بابت خط اعتباری دریافتی </t>
  </si>
  <si>
    <t xml:space="preserve">سایر هزینه رفاهی بازنشستگان و موظفین  : </t>
  </si>
  <si>
    <t xml:space="preserve">پرداختهای سرمایه ای </t>
  </si>
  <si>
    <t>اضافه/کسری منابع - تامین کسری از محل سپرده بانکی و...</t>
  </si>
  <si>
    <t>کسر ی تامین منا بع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</si>
</sst>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0##_-;[Red]\(#.0##\)"/>
  </numFmts>
  <fonts count="21" x14ac:knownFonts="1"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b/>
      <sz val="14"/>
      <color theme="1"/>
      <name val="B Nazanin"/>
      <charset val="178"/>
    </font>
    <font>
      <sz val="11"/>
      <color theme="1"/>
      <name val="B Zar"/>
      <charset val="178"/>
    </font>
    <font>
      <b/>
      <sz val="16"/>
      <color theme="1"/>
      <name val="B Nazanin"/>
      <charset val="178"/>
    </font>
    <font>
      <sz val="10"/>
      <color theme="1"/>
      <name val="B Titr"/>
      <charset val="178"/>
    </font>
    <font>
      <sz val="9"/>
      <color theme="1"/>
      <name val="B Titr"/>
      <charset val="178"/>
    </font>
    <font>
      <sz val="9"/>
      <color theme="1"/>
      <name val="Arial"/>
      <family val="2"/>
      <charset val="178"/>
      <scheme val="minor"/>
    </font>
    <font>
      <sz val="12"/>
      <color rgb="FFFF0000"/>
      <name val="B Zar"/>
      <charset val="178"/>
    </font>
    <font>
      <sz val="12"/>
      <color theme="1"/>
      <name val="B Zar"/>
      <charset val="178"/>
    </font>
    <font>
      <sz val="12"/>
      <color theme="1"/>
      <name val="B Titr"/>
      <charset val="178"/>
    </font>
    <font>
      <b/>
      <sz val="20"/>
      <color rgb="FF00B050"/>
      <name val="B Zar"/>
      <charset val="178"/>
    </font>
    <font>
      <sz val="14"/>
      <color rgb="FFFF0000"/>
      <name val="B Zar"/>
      <charset val="178"/>
    </font>
    <font>
      <b/>
      <sz val="14"/>
      <color theme="1"/>
      <name val="B Zar"/>
      <charset val="178"/>
    </font>
    <font>
      <b/>
      <sz val="12"/>
      <color theme="1"/>
      <name val="B Zar"/>
      <charset val="178"/>
    </font>
    <font>
      <sz val="14"/>
      <color theme="1"/>
      <name val="B Zar"/>
      <charset val="178"/>
    </font>
    <font>
      <b/>
      <sz val="14"/>
      <color rgb="FFFF0000"/>
      <name val="B Zar"/>
      <charset val="178"/>
    </font>
    <font>
      <b/>
      <sz val="12"/>
      <color rgb="FFFF0000"/>
      <name val="B Zar"/>
      <charset val="178"/>
    </font>
    <font>
      <b/>
      <sz val="12"/>
      <color theme="1"/>
      <name val="B Titr"/>
      <charset val="178"/>
    </font>
    <font>
      <b/>
      <u/>
      <sz val="14"/>
      <color indexed="8"/>
      <name val="B Zar"/>
      <charset val="178"/>
    </font>
    <font>
      <sz val="14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ABFFBF"/>
        <bgColor rgb="FF9BFD59"/>
      </patternFill>
    </fill>
    <fill>
      <patternFill patternType="solid">
        <fgColor rgb="FFB4F0FE"/>
        <bgColor indexed="64"/>
      </patternFill>
    </fill>
    <fill>
      <patternFill patternType="solid">
        <fgColor rgb="FFABFFBF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right" vertical="center" indent="1"/>
    </xf>
    <xf numFmtId="3" fontId="9" fillId="0" borderId="14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49" fontId="9" fillId="0" borderId="14" xfId="0" applyNumberFormat="1" applyFont="1" applyBorder="1" applyAlignment="1">
      <alignment vertical="center"/>
    </xf>
    <xf numFmtId="3" fontId="9" fillId="0" borderId="16" xfId="0" applyNumberFormat="1" applyFont="1" applyBorder="1" applyAlignment="1">
      <alignment vertical="center"/>
    </xf>
    <xf numFmtId="3" fontId="9" fillId="0" borderId="17" xfId="0" applyNumberFormat="1" applyFont="1" applyBorder="1" applyAlignment="1">
      <alignment vertical="center"/>
    </xf>
    <xf numFmtId="3" fontId="9" fillId="0" borderId="18" xfId="0" applyNumberFormat="1" applyFont="1" applyBorder="1" applyAlignment="1">
      <alignment vertical="center"/>
    </xf>
    <xf numFmtId="0" fontId="9" fillId="0" borderId="13" xfId="0" applyFont="1" applyBorder="1" applyAlignment="1">
      <alignment horizontal="right" vertical="center" indent="1"/>
    </xf>
    <xf numFmtId="164" fontId="9" fillId="0" borderId="16" xfId="0" applyNumberFormat="1" applyFont="1" applyBorder="1" applyAlignment="1">
      <alignment vertical="center"/>
    </xf>
    <xf numFmtId="164" fontId="9" fillId="0" borderId="18" xfId="0" applyNumberFormat="1" applyFont="1" applyBorder="1" applyAlignment="1">
      <alignment vertical="center"/>
    </xf>
    <xf numFmtId="0" fontId="9" fillId="3" borderId="13" xfId="0" applyFont="1" applyFill="1" applyBorder="1" applyAlignment="1">
      <alignment horizontal="right" vertical="center" indent="1"/>
    </xf>
    <xf numFmtId="3" fontId="9" fillId="3" borderId="14" xfId="0" applyNumberFormat="1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6" xfId="0" applyNumberFormat="1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164" fontId="9" fillId="3" borderId="18" xfId="0" applyNumberFormat="1" applyFont="1" applyFill="1" applyBorder="1" applyAlignment="1">
      <alignment vertical="center"/>
    </xf>
    <xf numFmtId="164" fontId="9" fillId="0" borderId="16" xfId="0" applyNumberFormat="1" applyFont="1" applyBorder="1" applyAlignment="1">
      <alignment horizontal="right" vertical="center"/>
    </xf>
    <xf numFmtId="164" fontId="9" fillId="0" borderId="18" xfId="0" applyNumberFormat="1" applyFont="1" applyBorder="1" applyAlignment="1">
      <alignment horizontal="right" vertical="center"/>
    </xf>
    <xf numFmtId="0" fontId="9" fillId="4" borderId="13" xfId="0" applyFont="1" applyFill="1" applyBorder="1" applyAlignment="1">
      <alignment horizontal="right" vertical="center" indent="1"/>
    </xf>
    <xf numFmtId="3" fontId="9" fillId="4" borderId="14" xfId="0" applyNumberFormat="1" applyFont="1" applyFill="1" applyBorder="1" applyAlignment="1">
      <alignment vertical="center"/>
    </xf>
    <xf numFmtId="3" fontId="9" fillId="4" borderId="15" xfId="0" applyNumberFormat="1" applyFont="1" applyFill="1" applyBorder="1" applyAlignment="1">
      <alignment vertical="center"/>
    </xf>
    <xf numFmtId="49" fontId="9" fillId="4" borderId="14" xfId="0" applyNumberFormat="1" applyFont="1" applyFill="1" applyBorder="1" applyAlignment="1">
      <alignment vertical="center"/>
    </xf>
    <xf numFmtId="164" fontId="9" fillId="4" borderId="16" xfId="0" applyNumberFormat="1" applyFont="1" applyFill="1" applyBorder="1" applyAlignment="1">
      <alignment vertical="center"/>
    </xf>
    <xf numFmtId="3" fontId="9" fillId="4" borderId="17" xfId="0" applyNumberFormat="1" applyFont="1" applyFill="1" applyBorder="1" applyAlignment="1">
      <alignment vertical="center"/>
    </xf>
    <xf numFmtId="164" fontId="9" fillId="4" borderId="18" xfId="0" applyNumberFormat="1" applyFont="1" applyFill="1" applyBorder="1" applyAlignment="1">
      <alignment vertical="center"/>
    </xf>
    <xf numFmtId="164" fontId="9" fillId="0" borderId="18" xfId="0" applyNumberFormat="1" applyFont="1" applyBorder="1" applyAlignment="1">
      <alignment vertical="center" shrinkToFit="1"/>
    </xf>
    <xf numFmtId="0" fontId="9" fillId="0" borderId="0" xfId="0" applyFont="1" applyAlignment="1">
      <alignment vertical="center"/>
    </xf>
    <xf numFmtId="49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10" fillId="2" borderId="20" xfId="0" applyFont="1" applyFill="1" applyBorder="1" applyAlignment="1">
      <alignment horizontal="right" vertical="center" indent="1"/>
    </xf>
    <xf numFmtId="0" fontId="10" fillId="2" borderId="19" xfId="0" applyFont="1" applyFill="1" applyBorder="1" applyAlignment="1">
      <alignment horizontal="right" vertical="center" indent="1"/>
    </xf>
    <xf numFmtId="0" fontId="9" fillId="3" borderId="27" xfId="0" applyFont="1" applyFill="1" applyBorder="1" applyAlignment="1">
      <alignment horizontal="right" vertical="center" indent="1"/>
    </xf>
    <xf numFmtId="0" fontId="13" fillId="0" borderId="31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right" vertical="center" indent="1" shrinkToFit="1"/>
    </xf>
    <xf numFmtId="0" fontId="15" fillId="0" borderId="42" xfId="0" applyFont="1" applyBorder="1" applyAlignment="1">
      <alignment horizontal="right" vertical="center" indent="1"/>
    </xf>
    <xf numFmtId="0" fontId="13" fillId="3" borderId="27" xfId="0" applyFont="1" applyFill="1" applyBorder="1" applyAlignment="1">
      <alignment horizontal="right" vertical="center" indent="1"/>
    </xf>
    <xf numFmtId="0" fontId="15" fillId="0" borderId="31" xfId="0" applyFont="1" applyBorder="1" applyAlignment="1">
      <alignment horizontal="right" vertical="center" indent="1"/>
    </xf>
    <xf numFmtId="0" fontId="15" fillId="0" borderId="5" xfId="0" applyFont="1" applyBorder="1" applyAlignment="1">
      <alignment horizontal="right" vertical="center" indent="1"/>
    </xf>
    <xf numFmtId="0" fontId="15" fillId="0" borderId="43" xfId="0" applyFont="1" applyBorder="1" applyAlignment="1">
      <alignment horizontal="right" vertical="center" indent="1"/>
    </xf>
    <xf numFmtId="0" fontId="15" fillId="0" borderId="38" xfId="0" applyFont="1" applyBorder="1" applyAlignment="1">
      <alignment horizontal="right" vertical="center" indent="1"/>
    </xf>
    <xf numFmtId="0" fontId="15" fillId="0" borderId="41" xfId="0" applyFont="1" applyBorder="1" applyAlignment="1">
      <alignment horizontal="right" vertical="center" indent="1"/>
    </xf>
    <xf numFmtId="0" fontId="13" fillId="4" borderId="30" xfId="0" applyFont="1" applyFill="1" applyBorder="1" applyAlignment="1">
      <alignment horizontal="right" vertical="center" indent="1"/>
    </xf>
    <xf numFmtId="0" fontId="15" fillId="0" borderId="17" xfId="0" applyFont="1" applyBorder="1" applyAlignment="1">
      <alignment horizontal="right" vertical="center" indent="1"/>
    </xf>
    <xf numFmtId="0" fontId="15" fillId="0" borderId="36" xfId="0" applyFont="1" applyBorder="1" applyAlignment="1">
      <alignment horizontal="right" vertical="center" indent="1" shrinkToFit="1"/>
    </xf>
    <xf numFmtId="0" fontId="15" fillId="0" borderId="34" xfId="0" applyFont="1" applyBorder="1" applyAlignment="1">
      <alignment horizontal="right" vertical="center" indent="1" shrinkToFit="1"/>
    </xf>
    <xf numFmtId="0" fontId="15" fillId="0" borderId="38" xfId="0" applyFont="1" applyBorder="1" applyAlignment="1">
      <alignment horizontal="right" vertical="center" indent="1" shrinkToFit="1"/>
    </xf>
    <xf numFmtId="0" fontId="15" fillId="0" borderId="0" xfId="0" applyFont="1" applyBorder="1" applyAlignment="1">
      <alignment horizontal="right" vertical="center" indent="1"/>
    </xf>
    <xf numFmtId="0" fontId="15" fillId="0" borderId="5" xfId="0" applyFont="1" applyBorder="1" applyAlignment="1">
      <alignment horizontal="right" vertical="center" indent="1" shrinkToFit="1"/>
    </xf>
    <xf numFmtId="0" fontId="13" fillId="4" borderId="27" xfId="0" applyFont="1" applyFill="1" applyBorder="1" applyAlignment="1">
      <alignment horizontal="right" vertical="center" indent="1"/>
    </xf>
    <xf numFmtId="3" fontId="9" fillId="0" borderId="46" xfId="0" applyNumberFormat="1" applyFont="1" applyBorder="1" applyAlignment="1">
      <alignment horizontal="center" vertical="center"/>
    </xf>
    <xf numFmtId="3" fontId="9" fillId="0" borderId="47" xfId="0" applyNumberFormat="1" applyFont="1" applyBorder="1" applyAlignment="1">
      <alignment horizontal="center" vertical="center"/>
    </xf>
    <xf numFmtId="49" fontId="9" fillId="0" borderId="25" xfId="0" applyNumberFormat="1" applyFont="1" applyFill="1" applyBorder="1" applyAlignment="1">
      <alignment vertical="center"/>
    </xf>
    <xf numFmtId="164" fontId="9" fillId="0" borderId="26" xfId="0" applyNumberFormat="1" applyFont="1" applyFill="1" applyBorder="1" applyAlignment="1">
      <alignment vertical="center"/>
    </xf>
    <xf numFmtId="165" fontId="9" fillId="0" borderId="25" xfId="0" applyNumberFormat="1" applyFont="1" applyFill="1" applyBorder="1" applyAlignment="1">
      <alignment vertical="center"/>
    </xf>
    <xf numFmtId="165" fontId="9" fillId="0" borderId="26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 indent="1" shrinkToFit="1"/>
    </xf>
    <xf numFmtId="0" fontId="0" fillId="0" borderId="20" xfId="0" applyBorder="1" applyAlignment="1">
      <alignment horizontal="right" vertical="center" indent="1" shrinkToFit="1"/>
    </xf>
    <xf numFmtId="3" fontId="9" fillId="0" borderId="20" xfId="0" applyNumberFormat="1" applyFont="1" applyBorder="1" applyAlignment="1">
      <alignment horizontal="center" vertical="center"/>
    </xf>
    <xf numFmtId="49" fontId="9" fillId="0" borderId="20" xfId="0" applyNumberFormat="1" applyFont="1" applyFill="1" applyBorder="1" applyAlignment="1">
      <alignment vertical="center"/>
    </xf>
    <xf numFmtId="164" fontId="9" fillId="0" borderId="20" xfId="0" applyNumberFormat="1" applyFont="1" applyFill="1" applyBorder="1" applyAlignment="1">
      <alignment vertical="center"/>
    </xf>
    <xf numFmtId="165" fontId="9" fillId="0" borderId="20" xfId="0" applyNumberFormat="1" applyFont="1" applyFill="1" applyBorder="1" applyAlignment="1">
      <alignment vertical="center"/>
    </xf>
    <xf numFmtId="0" fontId="16" fillId="0" borderId="30" xfId="0" applyFont="1" applyFill="1" applyBorder="1" applyAlignment="1">
      <alignment horizontal="right" vertical="center" indent="1"/>
    </xf>
    <xf numFmtId="0" fontId="17" fillId="0" borderId="28" xfId="0" applyFont="1" applyBorder="1" applyAlignment="1">
      <alignment horizontal="center" vertical="center"/>
    </xf>
    <xf numFmtId="3" fontId="17" fillId="0" borderId="29" xfId="0" applyNumberFormat="1" applyFont="1" applyBorder="1" applyAlignment="1">
      <alignment vertical="center"/>
    </xf>
    <xf numFmtId="3" fontId="17" fillId="0" borderId="27" xfId="0" applyNumberFormat="1" applyFont="1" applyBorder="1" applyAlignment="1">
      <alignment vertical="center"/>
    </xf>
    <xf numFmtId="49" fontId="17" fillId="0" borderId="29" xfId="0" applyNumberFormat="1" applyFont="1" applyBorder="1" applyAlignment="1">
      <alignment vertical="center"/>
    </xf>
    <xf numFmtId="164" fontId="17" fillId="0" borderId="30" xfId="0" applyNumberFormat="1" applyFont="1" applyBorder="1" applyAlignment="1">
      <alignment vertical="center"/>
    </xf>
    <xf numFmtId="165" fontId="17" fillId="0" borderId="29" xfId="0" applyNumberFormat="1" applyFont="1" applyBorder="1" applyAlignment="1">
      <alignment vertical="center"/>
    </xf>
    <xf numFmtId="165" fontId="17" fillId="0" borderId="30" xfId="0" applyNumberFormat="1" applyFont="1" applyBorder="1" applyAlignment="1">
      <alignment vertical="center"/>
    </xf>
    <xf numFmtId="0" fontId="0" fillId="0" borderId="0" xfId="0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11" fillId="0" borderId="0" xfId="0" applyFont="1" applyBorder="1" applyAlignment="1">
      <alignment horizontal="right" vertical="center" indent="1"/>
    </xf>
    <xf numFmtId="0" fontId="12" fillId="0" borderId="21" xfId="0" applyFont="1" applyBorder="1" applyAlignment="1">
      <alignment horizontal="center" vertical="center"/>
    </xf>
    <xf numFmtId="3" fontId="0" fillId="0" borderId="21" xfId="0" applyNumberForma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13" fillId="3" borderId="29" xfId="0" applyFont="1" applyFill="1" applyBorder="1" applyAlignment="1">
      <alignment horizontal="right" vertical="center" indent="1"/>
    </xf>
    <xf numFmtId="0" fontId="15" fillId="3" borderId="28" xfId="0" applyFont="1" applyFill="1" applyBorder="1" applyAlignment="1">
      <alignment horizontal="center" vertical="center"/>
    </xf>
    <xf numFmtId="3" fontId="15" fillId="3" borderId="27" xfId="0" applyNumberFormat="1" applyFont="1" applyFill="1" applyBorder="1" applyAlignment="1">
      <alignment horizontal="right" vertical="center"/>
    </xf>
    <xf numFmtId="3" fontId="15" fillId="3" borderId="28" xfId="0" applyNumberFormat="1" applyFont="1" applyFill="1" applyBorder="1" applyAlignment="1">
      <alignment horizontal="right" vertical="center"/>
    </xf>
    <xf numFmtId="49" fontId="15" fillId="3" borderId="29" xfId="0" applyNumberFormat="1" applyFont="1" applyFill="1" applyBorder="1" applyAlignment="1">
      <alignment horizontal="right" vertical="center"/>
    </xf>
    <xf numFmtId="3" fontId="15" fillId="3" borderId="30" xfId="0" applyNumberFormat="1" applyFont="1" applyFill="1" applyBorder="1" applyAlignment="1">
      <alignment horizontal="right" vertical="center"/>
    </xf>
    <xf numFmtId="164" fontId="15" fillId="3" borderId="29" xfId="0" applyNumberFormat="1" applyFont="1" applyFill="1" applyBorder="1" applyAlignment="1">
      <alignment horizontal="right" vertical="center"/>
    </xf>
    <xf numFmtId="165" fontId="15" fillId="3" borderId="30" xfId="0" applyNumberFormat="1" applyFont="1" applyFill="1" applyBorder="1" applyAlignment="1">
      <alignment horizontal="right" vertical="center"/>
    </xf>
    <xf numFmtId="0" fontId="15" fillId="0" borderId="10" xfId="0" applyFont="1" applyBorder="1" applyAlignment="1">
      <alignment horizontal="right" vertical="center" indent="1"/>
    </xf>
    <xf numFmtId="0" fontId="15" fillId="0" borderId="33" xfId="0" applyFont="1" applyBorder="1" applyAlignment="1">
      <alignment horizontal="center" vertical="center"/>
    </xf>
    <xf numFmtId="3" fontId="15" fillId="0" borderId="33" xfId="0" applyNumberFormat="1" applyFont="1" applyBorder="1" applyAlignment="1">
      <alignment horizontal="right" vertical="center"/>
    </xf>
    <xf numFmtId="3" fontId="15" fillId="0" borderId="31" xfId="0" applyNumberFormat="1" applyFont="1" applyBorder="1" applyAlignment="1">
      <alignment horizontal="right" vertical="center"/>
    </xf>
    <xf numFmtId="49" fontId="15" fillId="0" borderId="32" xfId="0" applyNumberFormat="1" applyFont="1" applyBorder="1" applyAlignment="1">
      <alignment horizontal="right" vertical="center"/>
    </xf>
    <xf numFmtId="164" fontId="15" fillId="0" borderId="34" xfId="0" applyNumberFormat="1" applyFont="1" applyBorder="1" applyAlignment="1">
      <alignment horizontal="right" vertical="center"/>
    </xf>
    <xf numFmtId="164" fontId="15" fillId="0" borderId="32" xfId="0" applyNumberFormat="1" applyFont="1" applyBorder="1" applyAlignment="1">
      <alignment horizontal="right" vertical="center"/>
    </xf>
    <xf numFmtId="165" fontId="15" fillId="0" borderId="34" xfId="0" applyNumberFormat="1" applyFont="1" applyBorder="1" applyAlignment="1">
      <alignment horizontal="right" vertical="center"/>
    </xf>
    <xf numFmtId="0" fontId="15" fillId="0" borderId="14" xfId="0" applyFont="1" applyBorder="1" applyAlignment="1">
      <alignment horizontal="right" vertical="center" indent="1"/>
    </xf>
    <xf numFmtId="49" fontId="15" fillId="0" borderId="37" xfId="0" applyNumberFormat="1" applyFont="1" applyBorder="1" applyAlignment="1">
      <alignment horizontal="center" vertical="center"/>
    </xf>
    <xf numFmtId="3" fontId="15" fillId="0" borderId="37" xfId="0" applyNumberFormat="1" applyFont="1" applyBorder="1" applyAlignment="1">
      <alignment horizontal="right" vertical="center"/>
    </xf>
    <xf numFmtId="3" fontId="15" fillId="0" borderId="17" xfId="0" applyNumberFormat="1" applyFont="1" applyBorder="1" applyAlignment="1">
      <alignment horizontal="right" vertical="center"/>
    </xf>
    <xf numFmtId="49" fontId="15" fillId="0" borderId="35" xfId="0" applyNumberFormat="1" applyFont="1" applyBorder="1" applyAlignment="1">
      <alignment horizontal="right" vertical="center"/>
    </xf>
    <xf numFmtId="164" fontId="15" fillId="0" borderId="38" xfId="0" applyNumberFormat="1" applyFont="1" applyBorder="1" applyAlignment="1">
      <alignment horizontal="right" vertical="center"/>
    </xf>
    <xf numFmtId="164" fontId="15" fillId="0" borderId="35" xfId="0" applyNumberFormat="1" applyFont="1" applyBorder="1" applyAlignment="1">
      <alignment horizontal="right" vertical="center"/>
    </xf>
    <xf numFmtId="165" fontId="15" fillId="0" borderId="38" xfId="0" applyNumberFormat="1" applyFont="1" applyBorder="1" applyAlignment="1">
      <alignment horizontal="right" vertical="center"/>
    </xf>
    <xf numFmtId="3" fontId="15" fillId="0" borderId="17" xfId="0" applyNumberFormat="1" applyFont="1" applyFill="1" applyBorder="1" applyAlignment="1">
      <alignment horizontal="right" vertical="center"/>
    </xf>
    <xf numFmtId="0" fontId="15" fillId="0" borderId="37" xfId="0" applyFont="1" applyBorder="1" applyAlignment="1">
      <alignment horizontal="center" vertical="center"/>
    </xf>
    <xf numFmtId="0" fontId="15" fillId="0" borderId="35" xfId="0" applyFont="1" applyBorder="1" applyAlignment="1">
      <alignment horizontal="right" vertical="center" indent="1"/>
    </xf>
    <xf numFmtId="0" fontId="9" fillId="0" borderId="17" xfId="0" applyFont="1" applyBorder="1" applyAlignment="1">
      <alignment horizontal="right" vertical="center" indent="1" shrinkToFit="1"/>
    </xf>
    <xf numFmtId="3" fontId="15" fillId="0" borderId="37" xfId="0" applyNumberFormat="1" applyFont="1" applyFill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3" fontId="15" fillId="0" borderId="40" xfId="0" applyNumberFormat="1" applyFont="1" applyBorder="1" applyAlignment="1">
      <alignment horizontal="right" vertical="center"/>
    </xf>
    <xf numFmtId="3" fontId="15" fillId="0" borderId="40" xfId="0" applyNumberFormat="1" applyFont="1" applyFill="1" applyBorder="1" applyAlignment="1">
      <alignment horizontal="right" vertical="center"/>
    </xf>
    <xf numFmtId="3" fontId="15" fillId="0" borderId="5" xfId="0" applyNumberFormat="1" applyFont="1" applyFill="1" applyBorder="1" applyAlignment="1">
      <alignment horizontal="right" vertical="center"/>
    </xf>
    <xf numFmtId="49" fontId="15" fillId="0" borderId="39" xfId="0" applyNumberFormat="1" applyFont="1" applyBorder="1" applyAlignment="1">
      <alignment horizontal="right" vertical="center"/>
    </xf>
    <xf numFmtId="164" fontId="15" fillId="0" borderId="41" xfId="0" applyNumberFormat="1" applyFont="1" applyBorder="1" applyAlignment="1">
      <alignment horizontal="right" vertical="center"/>
    </xf>
    <xf numFmtId="165" fontId="15" fillId="0" borderId="41" xfId="0" applyNumberFormat="1" applyFont="1" applyBorder="1" applyAlignment="1">
      <alignment horizontal="right" vertical="center"/>
    </xf>
    <xf numFmtId="0" fontId="15" fillId="0" borderId="40" xfId="0" applyFont="1" applyBorder="1" applyAlignment="1">
      <alignment horizontal="center" vertical="center"/>
    </xf>
    <xf numFmtId="164" fontId="15" fillId="0" borderId="39" xfId="0" applyNumberFormat="1" applyFont="1" applyBorder="1" applyAlignment="1">
      <alignment horizontal="right" vertical="center"/>
    </xf>
    <xf numFmtId="3" fontId="15" fillId="0" borderId="33" xfId="0" applyNumberFormat="1" applyFont="1" applyFill="1" applyBorder="1" applyAlignment="1">
      <alignment horizontal="right" vertical="center"/>
    </xf>
    <xf numFmtId="3" fontId="15" fillId="0" borderId="31" xfId="0" applyNumberFormat="1" applyFont="1" applyFill="1" applyBorder="1" applyAlignment="1">
      <alignment horizontal="right" vertical="center"/>
    </xf>
    <xf numFmtId="49" fontId="15" fillId="0" borderId="40" xfId="0" applyNumberFormat="1" applyFont="1" applyBorder="1" applyAlignment="1">
      <alignment horizontal="center" vertical="center"/>
    </xf>
    <xf numFmtId="0" fontId="15" fillId="0" borderId="55" xfId="0" applyFont="1" applyBorder="1" applyAlignment="1">
      <alignment horizontal="right" vertical="center" indent="1"/>
    </xf>
    <xf numFmtId="3" fontId="15" fillId="0" borderId="56" xfId="0" applyNumberFormat="1" applyFont="1" applyBorder="1" applyAlignment="1">
      <alignment horizontal="right" vertical="center"/>
    </xf>
    <xf numFmtId="0" fontId="20" fillId="0" borderId="40" xfId="0" applyFont="1" applyBorder="1" applyAlignment="1">
      <alignment horizontal="center" vertical="center"/>
    </xf>
    <xf numFmtId="0" fontId="15" fillId="0" borderId="57" xfId="0" applyFont="1" applyBorder="1" applyAlignment="1">
      <alignment horizontal="right" vertical="center" indent="1"/>
    </xf>
    <xf numFmtId="3" fontId="15" fillId="0" borderId="58" xfId="0" applyNumberFormat="1" applyFont="1" applyBorder="1" applyAlignment="1">
      <alignment horizontal="right" vertical="center"/>
    </xf>
    <xf numFmtId="0" fontId="4" fillId="0" borderId="44" xfId="0" applyFont="1" applyBorder="1" applyAlignment="1">
      <alignment horizontal="center" vertical="center"/>
    </xf>
    <xf numFmtId="3" fontId="15" fillId="0" borderId="44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44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49" fontId="15" fillId="0" borderId="45" xfId="0" applyNumberFormat="1" applyFont="1" applyBorder="1" applyAlignment="1">
      <alignment horizontal="right" vertical="center"/>
    </xf>
    <xf numFmtId="164" fontId="15" fillId="0" borderId="36" xfId="0" applyNumberFormat="1" applyFont="1" applyBorder="1" applyAlignment="1">
      <alignment horizontal="right" vertical="center"/>
    </xf>
    <xf numFmtId="164" fontId="15" fillId="0" borderId="45" xfId="0" applyNumberFormat="1" applyFont="1" applyBorder="1" applyAlignment="1">
      <alignment horizontal="right" vertical="center"/>
    </xf>
    <xf numFmtId="165" fontId="15" fillId="0" borderId="36" xfId="0" applyNumberFormat="1" applyFont="1" applyBorder="1" applyAlignment="1">
      <alignment horizontal="right" vertical="center"/>
    </xf>
    <xf numFmtId="0" fontId="15" fillId="0" borderId="59" xfId="0" applyFont="1" applyBorder="1" applyAlignment="1">
      <alignment horizontal="right" vertical="center" indent="1"/>
    </xf>
    <xf numFmtId="3" fontId="15" fillId="0" borderId="60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3" fontId="15" fillId="4" borderId="27" xfId="0" applyNumberFormat="1" applyFont="1" applyFill="1" applyBorder="1" applyAlignment="1">
      <alignment horizontal="right" vertical="center"/>
    </xf>
    <xf numFmtId="3" fontId="15" fillId="4" borderId="28" xfId="0" applyNumberFormat="1" applyFont="1" applyFill="1" applyBorder="1" applyAlignment="1">
      <alignment horizontal="right" vertical="center"/>
    </xf>
    <xf numFmtId="49" fontId="15" fillId="4" borderId="29" xfId="0" applyNumberFormat="1" applyFont="1" applyFill="1" applyBorder="1" applyAlignment="1">
      <alignment horizontal="right" vertical="center"/>
    </xf>
    <xf numFmtId="3" fontId="15" fillId="4" borderId="30" xfId="0" applyNumberFormat="1" applyFont="1" applyFill="1" applyBorder="1" applyAlignment="1">
      <alignment horizontal="right" vertical="center"/>
    </xf>
    <xf numFmtId="164" fontId="15" fillId="4" borderId="29" xfId="0" applyNumberFormat="1" applyFont="1" applyFill="1" applyBorder="1" applyAlignment="1">
      <alignment horizontal="right" vertical="center"/>
    </xf>
    <xf numFmtId="165" fontId="15" fillId="4" borderId="30" xfId="0" applyNumberFormat="1" applyFont="1" applyFill="1" applyBorder="1" applyAlignment="1">
      <alignment horizontal="right" vertical="center"/>
    </xf>
    <xf numFmtId="0" fontId="11" fillId="0" borderId="26" xfId="0" applyFont="1" applyBorder="1" applyAlignment="1">
      <alignment horizontal="right" vertical="center" indent="1"/>
    </xf>
    <xf numFmtId="0" fontId="12" fillId="0" borderId="44" xfId="0" applyFont="1" applyBorder="1" applyAlignment="1">
      <alignment horizontal="center" vertical="center"/>
    </xf>
    <xf numFmtId="164" fontId="15" fillId="3" borderId="30" xfId="0" applyNumberFormat="1" applyFont="1" applyFill="1" applyBorder="1" applyAlignment="1">
      <alignment horizontal="right" vertical="center"/>
    </xf>
    <xf numFmtId="49" fontId="15" fillId="0" borderId="33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right" vertical="center" indent="1" shrinkToFit="1"/>
    </xf>
    <xf numFmtId="0" fontId="15" fillId="0" borderId="2" xfId="0" applyFont="1" applyBorder="1" applyAlignment="1">
      <alignment horizontal="right" vertical="center" indent="1" shrinkToFit="1"/>
    </xf>
    <xf numFmtId="0" fontId="15" fillId="5" borderId="44" xfId="0" applyFont="1" applyFill="1" applyBorder="1" applyAlignment="1">
      <alignment horizontal="center" vertical="center"/>
    </xf>
    <xf numFmtId="3" fontId="15" fillId="5" borderId="0" xfId="0" applyNumberFormat="1" applyFont="1" applyFill="1" applyBorder="1" applyAlignment="1">
      <alignment horizontal="right" vertical="center"/>
    </xf>
    <xf numFmtId="3" fontId="15" fillId="5" borderId="44" xfId="0" applyNumberFormat="1" applyFont="1" applyFill="1" applyBorder="1" applyAlignment="1">
      <alignment horizontal="right" vertical="center"/>
    </xf>
    <xf numFmtId="49" fontId="15" fillId="5" borderId="45" xfId="0" applyNumberFormat="1" applyFont="1" applyFill="1" applyBorder="1" applyAlignment="1">
      <alignment horizontal="right" vertical="center"/>
    </xf>
    <xf numFmtId="3" fontId="15" fillId="0" borderId="36" xfId="0" applyNumberFormat="1" applyFont="1" applyFill="1" applyBorder="1" applyAlignment="1">
      <alignment horizontal="right" vertical="center"/>
    </xf>
    <xf numFmtId="164" fontId="15" fillId="5" borderId="45" xfId="0" applyNumberFormat="1" applyFont="1" applyFill="1" applyBorder="1" applyAlignment="1">
      <alignment horizontal="right" vertical="center"/>
    </xf>
    <xf numFmtId="165" fontId="15" fillId="0" borderId="36" xfId="0" applyNumberFormat="1" applyFont="1" applyFill="1" applyBorder="1" applyAlignment="1">
      <alignment horizontal="right" vertical="center"/>
    </xf>
    <xf numFmtId="0" fontId="15" fillId="0" borderId="50" xfId="0" applyFont="1" applyBorder="1" applyAlignment="1">
      <alignment horizontal="right" vertical="center" indent="1" shrinkToFit="1"/>
    </xf>
    <xf numFmtId="0" fontId="15" fillId="0" borderId="10" xfId="0" applyFont="1" applyBorder="1" applyAlignment="1">
      <alignment horizontal="right" vertical="center" indent="1" shrinkToFit="1"/>
    </xf>
    <xf numFmtId="0" fontId="15" fillId="5" borderId="33" xfId="0" applyFont="1" applyFill="1" applyBorder="1" applyAlignment="1">
      <alignment horizontal="center" vertical="center"/>
    </xf>
    <xf numFmtId="49" fontId="15" fillId="5" borderId="32" xfId="0" applyNumberFormat="1" applyFont="1" applyFill="1" applyBorder="1" applyAlignment="1">
      <alignment horizontal="right" vertical="center"/>
    </xf>
    <xf numFmtId="3" fontId="15" fillId="0" borderId="34" xfId="0" applyNumberFormat="1" applyFont="1" applyFill="1" applyBorder="1" applyAlignment="1">
      <alignment horizontal="right" vertical="center"/>
    </xf>
    <xf numFmtId="165" fontId="15" fillId="0" borderId="34" xfId="0" applyNumberFormat="1" applyFont="1" applyFill="1" applyBorder="1" applyAlignment="1">
      <alignment horizontal="right" vertical="center"/>
    </xf>
    <xf numFmtId="0" fontId="15" fillId="0" borderId="35" xfId="0" applyFont="1" applyBorder="1" applyAlignment="1">
      <alignment horizontal="right" vertical="center" indent="1" shrinkToFit="1"/>
    </xf>
    <xf numFmtId="0" fontId="15" fillId="0" borderId="17" xfId="0" applyFont="1" applyBorder="1" applyAlignment="1">
      <alignment horizontal="right" vertical="center" indent="1" shrinkToFit="1"/>
    </xf>
    <xf numFmtId="3" fontId="15" fillId="0" borderId="41" xfId="0" applyNumberFormat="1" applyFont="1" applyFill="1" applyBorder="1" applyAlignment="1">
      <alignment horizontal="right" vertical="center"/>
    </xf>
    <xf numFmtId="165" fontId="15" fillId="0" borderId="41" xfId="0" applyNumberFormat="1" applyFont="1" applyFill="1" applyBorder="1" applyAlignment="1">
      <alignment horizontal="right" vertical="center"/>
    </xf>
    <xf numFmtId="0" fontId="15" fillId="0" borderId="45" xfId="0" applyFont="1" applyBorder="1" applyAlignment="1">
      <alignment horizontal="right" vertical="center" indent="1" shrinkToFit="1"/>
    </xf>
    <xf numFmtId="0" fontId="15" fillId="0" borderId="19" xfId="0" applyFont="1" applyBorder="1" applyAlignment="1">
      <alignment horizontal="right" vertical="center" indent="1" shrinkToFit="1"/>
    </xf>
    <xf numFmtId="0" fontId="15" fillId="0" borderId="45" xfId="0" applyFont="1" applyBorder="1" applyAlignment="1">
      <alignment horizontal="right" vertical="center" indent="1"/>
    </xf>
    <xf numFmtId="0" fontId="15" fillId="0" borderId="19" xfId="0" applyFont="1" applyBorder="1" applyAlignment="1">
      <alignment horizontal="right" vertical="center" indent="1"/>
    </xf>
    <xf numFmtId="0" fontId="15" fillId="0" borderId="44" xfId="0" applyFont="1" applyBorder="1" applyAlignment="1">
      <alignment horizontal="center" vertical="center"/>
    </xf>
    <xf numFmtId="165" fontId="15" fillId="3" borderId="29" xfId="0" applyNumberFormat="1" applyFont="1" applyFill="1" applyBorder="1" applyAlignment="1">
      <alignment horizontal="right" vertical="center"/>
    </xf>
    <xf numFmtId="165" fontId="15" fillId="0" borderId="32" xfId="0" applyNumberFormat="1" applyFont="1" applyBorder="1" applyAlignment="1">
      <alignment horizontal="right" vertical="center"/>
    </xf>
    <xf numFmtId="165" fontId="15" fillId="0" borderId="35" xfId="0" applyNumberFormat="1" applyFont="1" applyBorder="1" applyAlignment="1">
      <alignment horizontal="right" vertical="center"/>
    </xf>
    <xf numFmtId="3" fontId="15" fillId="0" borderId="42" xfId="0" applyNumberFormat="1" applyFont="1" applyBorder="1" applyAlignment="1">
      <alignment horizontal="right" vertical="center"/>
    </xf>
    <xf numFmtId="165" fontId="15" fillId="0" borderId="39" xfId="0" applyNumberFormat="1" applyFont="1" applyBorder="1" applyAlignment="1">
      <alignment horizontal="right" vertical="center"/>
    </xf>
    <xf numFmtId="164" fontId="15" fillId="4" borderId="30" xfId="0" applyNumberFormat="1" applyFont="1" applyFill="1" applyBorder="1" applyAlignment="1">
      <alignment horizontal="right" vertical="center"/>
    </xf>
    <xf numFmtId="165" fontId="15" fillId="4" borderId="29" xfId="0" applyNumberFormat="1" applyFont="1" applyFill="1" applyBorder="1" applyAlignment="1">
      <alignment horizontal="right" vertical="center"/>
    </xf>
    <xf numFmtId="0" fontId="16" fillId="0" borderId="29" xfId="0" applyFont="1" applyFill="1" applyBorder="1" applyAlignment="1">
      <alignment horizontal="right" vertical="center" indent="1"/>
    </xf>
    <xf numFmtId="0" fontId="16" fillId="0" borderId="27" xfId="0" applyFont="1" applyFill="1" applyBorder="1" applyAlignment="1">
      <alignment horizontal="right" vertical="center" indent="1"/>
    </xf>
    <xf numFmtId="0" fontId="1" fillId="0" borderId="0" xfId="0" applyFont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5" fillId="0" borderId="51" xfId="0" applyFont="1" applyBorder="1" applyAlignment="1">
      <alignment horizontal="right" vertical="center" indent="1"/>
    </xf>
    <xf numFmtId="0" fontId="15" fillId="0" borderId="52" xfId="0" applyFont="1" applyBorder="1" applyAlignment="1">
      <alignment horizontal="right" vertical="center" inden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3" fontId="5" fillId="2" borderId="22" xfId="0" applyNumberFormat="1" applyFont="1" applyFill="1" applyBorder="1" applyAlignment="1">
      <alignment horizontal="center" vertical="center" wrapText="1"/>
    </xf>
    <xf numFmtId="3" fontId="5" fillId="2" borderId="23" xfId="0" applyNumberFormat="1" applyFont="1" applyFill="1" applyBorder="1" applyAlignment="1">
      <alignment horizontal="center" vertical="center" wrapText="1"/>
    </xf>
    <xf numFmtId="3" fontId="5" fillId="2" borderId="25" xfId="0" applyNumberFormat="1" applyFont="1" applyFill="1" applyBorder="1" applyAlignment="1">
      <alignment horizontal="center" vertical="center" wrapText="1"/>
    </xf>
    <xf numFmtId="3" fontId="5" fillId="2" borderId="26" xfId="0" applyNumberFormat="1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>
      <alignment horizontal="center" vertical="center" wrapText="1"/>
    </xf>
    <xf numFmtId="164" fontId="5" fillId="2" borderId="23" xfId="0" applyNumberFormat="1" applyFont="1" applyFill="1" applyBorder="1" applyAlignment="1">
      <alignment horizontal="center" vertical="center" wrapText="1"/>
    </xf>
    <xf numFmtId="164" fontId="5" fillId="2" borderId="25" xfId="0" applyNumberFormat="1" applyFont="1" applyFill="1" applyBorder="1" applyAlignment="1">
      <alignment horizontal="center" vertical="center" wrapText="1"/>
    </xf>
    <xf numFmtId="164" fontId="5" fillId="2" borderId="26" xfId="0" applyNumberFormat="1" applyFont="1" applyFill="1" applyBorder="1" applyAlignment="1">
      <alignment horizontal="center" vertical="center" wrapText="1"/>
    </xf>
    <xf numFmtId="0" fontId="11" fillId="0" borderId="45" xfId="0" applyFont="1" applyBorder="1" applyAlignment="1">
      <alignment horizontal="right" vertical="center" indent="1"/>
    </xf>
    <xf numFmtId="0" fontId="11" fillId="0" borderId="0" xfId="0" applyFont="1" applyBorder="1" applyAlignment="1">
      <alignment horizontal="right" vertical="center" indent="1"/>
    </xf>
    <xf numFmtId="49" fontId="9" fillId="0" borderId="29" xfId="0" applyNumberFormat="1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/>
    </xf>
    <xf numFmtId="164" fontId="9" fillId="0" borderId="29" xfId="0" applyNumberFormat="1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center" vertical="center"/>
    </xf>
    <xf numFmtId="0" fontId="18" fillId="2" borderId="22" xfId="0" applyFont="1" applyFill="1" applyBorder="1" applyAlignment="1">
      <alignment horizontal="right" vertical="center" indent="1"/>
    </xf>
    <xf numFmtId="0" fontId="10" fillId="2" borderId="20" xfId="0" applyFont="1" applyFill="1" applyBorder="1" applyAlignment="1">
      <alignment horizontal="right" vertical="center" indent="1"/>
    </xf>
    <xf numFmtId="0" fontId="10" fillId="2" borderId="25" xfId="0" applyFont="1" applyFill="1" applyBorder="1" applyAlignment="1">
      <alignment horizontal="right" vertical="center" indent="1"/>
    </xf>
    <xf numFmtId="0" fontId="10" fillId="2" borderId="19" xfId="0" applyFont="1" applyFill="1" applyBorder="1" applyAlignment="1">
      <alignment horizontal="right" vertical="center" indent="1"/>
    </xf>
    <xf numFmtId="0" fontId="10" fillId="2" borderId="19" xfId="0" applyFont="1" applyFill="1" applyBorder="1" applyAlignment="1">
      <alignment horizontal="center" vertical="center" wrapText="1"/>
    </xf>
    <xf numFmtId="0" fontId="13" fillId="0" borderId="48" xfId="0" applyFont="1" applyBorder="1" applyAlignment="1">
      <alignment horizontal="right" vertical="center" wrapText="1" indent="1"/>
    </xf>
    <xf numFmtId="0" fontId="13" fillId="0" borderId="49" xfId="0" applyFont="1" applyBorder="1" applyAlignment="1">
      <alignment horizontal="right" vertical="center" indent="1"/>
    </xf>
    <xf numFmtId="0" fontId="13" fillId="0" borderId="50" xfId="0" applyFont="1" applyBorder="1" applyAlignment="1">
      <alignment horizontal="right" vertical="center" indent="1"/>
    </xf>
    <xf numFmtId="0" fontId="13" fillId="3" borderId="29" xfId="0" applyFont="1" applyFill="1" applyBorder="1" applyAlignment="1">
      <alignment horizontal="right" vertical="center" indent="1"/>
    </xf>
    <xf numFmtId="0" fontId="13" fillId="3" borderId="27" xfId="0" applyFont="1" applyFill="1" applyBorder="1" applyAlignment="1">
      <alignment horizontal="right" vertical="center" indent="1"/>
    </xf>
    <xf numFmtId="0" fontId="15" fillId="0" borderId="32" xfId="0" applyFont="1" applyBorder="1" applyAlignment="1">
      <alignment horizontal="right" vertical="center" indent="1"/>
    </xf>
    <xf numFmtId="0" fontId="15" fillId="0" borderId="31" xfId="0" applyFont="1" applyBorder="1" applyAlignment="1">
      <alignment horizontal="right" vertical="center" indent="1"/>
    </xf>
    <xf numFmtId="0" fontId="15" fillId="0" borderId="35" xfId="0" applyFont="1" applyBorder="1" applyAlignment="1">
      <alignment horizontal="right" vertical="center" indent="1"/>
    </xf>
    <xf numFmtId="0" fontId="15" fillId="0" borderId="17" xfId="0" applyFont="1" applyBorder="1" applyAlignment="1">
      <alignment horizontal="right" vertical="center" indent="1"/>
    </xf>
    <xf numFmtId="0" fontId="15" fillId="0" borderId="53" xfId="0" applyFont="1" applyBorder="1" applyAlignment="1">
      <alignment horizontal="right" vertical="center" indent="1"/>
    </xf>
    <xf numFmtId="0" fontId="15" fillId="0" borderId="54" xfId="0" applyFont="1" applyBorder="1" applyAlignment="1">
      <alignment horizontal="right" vertical="center" indent="1"/>
    </xf>
    <xf numFmtId="0" fontId="15" fillId="0" borderId="40" xfId="0" applyFont="1" applyBorder="1" applyAlignment="1">
      <alignment horizontal="right" vertical="center" wrapText="1" indent="1"/>
    </xf>
    <xf numFmtId="0" fontId="0" fillId="0" borderId="44" xfId="0" applyBorder="1" applyAlignment="1">
      <alignment horizontal="right" vertical="center" wrapText="1" indent="1"/>
    </xf>
    <xf numFmtId="0" fontId="15" fillId="0" borderId="33" xfId="0" applyFont="1" applyBorder="1" applyAlignment="1">
      <alignment horizontal="right" vertical="center" wrapText="1" indent="1"/>
    </xf>
    <xf numFmtId="0" fontId="13" fillId="4" borderId="29" xfId="0" applyFont="1" applyFill="1" applyBorder="1" applyAlignment="1">
      <alignment horizontal="right" vertical="center" indent="1"/>
    </xf>
    <xf numFmtId="0" fontId="13" fillId="4" borderId="27" xfId="0" applyFont="1" applyFill="1" applyBorder="1" applyAlignment="1">
      <alignment horizontal="right" vertical="center" indent="1"/>
    </xf>
    <xf numFmtId="0" fontId="11" fillId="0" borderId="29" xfId="0" applyFont="1" applyBorder="1" applyAlignment="1">
      <alignment horizontal="right" vertical="center" indent="1"/>
    </xf>
    <xf numFmtId="0" fontId="11" fillId="0" borderId="27" xfId="0" applyFont="1" applyBorder="1" applyAlignment="1">
      <alignment horizontal="right" vertical="center" indent="1"/>
    </xf>
    <xf numFmtId="0" fontId="15" fillId="0" borderId="39" xfId="0" applyFont="1" applyBorder="1" applyAlignment="1">
      <alignment horizontal="right" vertical="center" indent="1"/>
    </xf>
    <xf numFmtId="0" fontId="15" fillId="0" borderId="5" xfId="0" applyFont="1" applyBorder="1" applyAlignment="1">
      <alignment horizontal="right" vertical="center" indent="1"/>
    </xf>
    <xf numFmtId="0" fontId="15" fillId="0" borderId="39" xfId="0" applyFont="1" applyBorder="1" applyAlignment="1">
      <alignment horizontal="right" vertical="center" indent="1" shrinkToFit="1"/>
    </xf>
    <xf numFmtId="0" fontId="15" fillId="0" borderId="5" xfId="0" applyFont="1" applyBorder="1" applyAlignment="1">
      <alignment horizontal="right" vertical="center" indent="1" shrinkToFit="1"/>
    </xf>
    <xf numFmtId="0" fontId="9" fillId="0" borderId="25" xfId="0" applyFont="1" applyFill="1" applyBorder="1" applyAlignment="1">
      <alignment horizontal="right" vertical="center" indent="1" shrinkToFit="1"/>
    </xf>
    <xf numFmtId="0" fontId="9" fillId="0" borderId="19" xfId="0" applyFont="1" applyFill="1" applyBorder="1" applyAlignment="1">
      <alignment horizontal="right" vertical="center" indent="1" shrinkToFit="1"/>
    </xf>
    <xf numFmtId="0" fontId="0" fillId="0" borderId="19" xfId="0" applyBorder="1" applyAlignment="1">
      <alignment horizontal="right" vertical="center" indent="1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limipc\SHARE\&#1578;&#1605;&#1575;&#1605;%20&#1575;&#1591;&#1604;&#1575;&#1593;&#1575;&#1578;%20&#1582;&#1575;&#1606;&#1605;%20&#1587;&#1604;&#1740;&#1605;&#1740;\&#1581;&#1587;&#1740;&#1606;&#1740;%20&#1606;&#1740;&#1575;\&#1576;&#1608;&#1583;&#1580;&#1607;%2098%20&#1589;&#1606;&#1583;&#1608;&#1602;\&#1606;&#1607;&#1575;&#1740;&#1740;-&#1576;&#1585;&#1606;&#1575;&#1605;&#1607;%20&#1608;%20&#1576;&#1608;&#1583;&#1580;&#1607;%20&#1587;&#1575;&#1604;%2098-9711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limipc\SHARE\&#1578;&#1605;&#1575;&#1605;%20&#1575;&#1591;&#1604;&#1575;&#1593;&#1575;&#1578;%20&#1582;&#1575;&#1606;&#1605;%20&#1587;&#1604;&#1740;&#1605;&#1740;\&#1581;&#1587;&#1740;&#1606;&#1740;%20&#1606;&#1740;&#1575;\&#1576;&#1608;&#1583;&#1580;&#1607;%2099\&#1576;&#1608;&#1583;&#1580;&#1607;1399-&#1575;&#1589;&#1604;&#1575;&#1581;&#1740;%20&#1602;&#1591;&#1593;&#1740;-991021\&#1576;&#1608;&#1583;&#1580;&#1607;%20&#1575;&#1589;&#1604;&#1575;&#1581;&#1740;99&#1575;&#1585;&#1587;&#1575;&#1604;&#1740;%20&#1576;&#1607;%20&#1607;&#1740;&#1574;&#1578;%20&#1605;&#1583;&#1740;&#1585;&#1607;%20%20&#1608;%20&#1607;%20&#1740;&#1574;&#1578;%20&#1575;&#1605;&#1606;&#1575;&#1569;-13991105\&#1576;&#1608;&#1583;&#1580;&#1607;%20&#1575;&#1589;&#1604;&#1575;&#1581;&#1740;99-9910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نابع ومصارف+9ماهه"/>
      <sheetName val="منابع ومصارف-عملکرد98"/>
      <sheetName val="منابع و مصارف-عملکرد98-980808"/>
      <sheetName val="یادداشت1-اعتبارات"/>
      <sheetName val="توضیح یادداشت6-محاسبه حقوق "/>
      <sheetName val="یادداشت4-صورت درآمدوهزینه"/>
      <sheetName val="یادداشت1-4-سودسهام"/>
      <sheetName val="یادداشت1-1-4-افزایش سرمایه "/>
      <sheetName val="یادداشت9-هزینه های اداره طرح"/>
      <sheetName val="یادداشت-هزینه های پرسنلی 1-9"/>
      <sheetName val="یادداشت-هزینه دارائی2-9"/>
      <sheetName val="یادداشت-هزینه اداری3-9 "/>
      <sheetName val="یادداشت-هزینه بیمه ای4-9"/>
      <sheetName val="مقایسه بودجه "/>
      <sheetName val="تراز کل"/>
      <sheetName val="صورت تغییرات خالص داراییها"/>
      <sheetName val="یادداشت-13"/>
      <sheetName val="یادداشت1-13"/>
      <sheetName val="یادداشت2-13"/>
      <sheetName val="یادداشت-14"/>
      <sheetName val="یادداشت-1-14"/>
      <sheetName val="یادداشت2-14"/>
      <sheetName val="یادداشت-15"/>
      <sheetName val="یادداشت1-15"/>
      <sheetName val="یادداشت2-15"/>
      <sheetName val="یادداشت16-املاک"/>
      <sheetName val="یادداشت17-اوراق سپرده"/>
      <sheetName val="یادداشت-18-تسهیلات"/>
      <sheetName val="یادداشت-19-سپرده بانکی"/>
      <sheetName val="یادداشت1-19-لیست سپرده ها"/>
      <sheetName val="یادداشت-20-موجودی نقد"/>
      <sheetName val="یادداشت-21-بدهی دولت"/>
      <sheetName val="یادداشت-22-حق بیمه دریافتنی"/>
      <sheetName val="یادداشت-23-حسابهای دریافتنی"/>
      <sheetName val="یادداشت-24-پیش پرداختها"/>
      <sheetName val="یادداشت-25-دارایی مشهود"/>
      <sheetName val="یادداشت-26-دارایی نامشهود"/>
      <sheetName val="یادداشت-27-حسابهای پرداختن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2">
          <cell r="D22"/>
        </row>
      </sheetData>
      <sheetData sheetId="10">
        <row r="11">
          <cell r="C11"/>
        </row>
      </sheetData>
      <sheetData sheetId="11">
        <row r="26">
          <cell r="C26"/>
        </row>
      </sheetData>
      <sheetData sheetId="12">
        <row r="13">
          <cell r="C13"/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نابع ومصارف-اصلی"/>
      <sheetName val="یادداشت1-اعتبارات"/>
      <sheetName val="توضیح یادداشت1-1-محاسبه حقوق "/>
      <sheetName val="یادداشت1-1-1-اعتبارت"/>
      <sheetName val="یادداشت3و2-1-1-اعتبارات"/>
      <sheetName val="یادداشت4-صورت درآمدوهزینه"/>
      <sheetName val="یادداشت1-4-سودسهام"/>
      <sheetName val="یادداشت8-هزینه های اداره طرح"/>
      <sheetName val="یادداشت1-8-هزینه های پرسنلی"/>
      <sheetName val="یادداشت2-8-هزینه دارائی"/>
      <sheetName val="یادداشت3-8-هزینه اداری"/>
      <sheetName val="یادداشت1-9-پرداخت سرمایه گذاری"/>
      <sheetName val="یادداشت2-9-زمین ساختمان تاسیس "/>
      <sheetName val="یادداشت-3-9- اثاثیه اداری و "/>
      <sheetName val="یادداشت4-9-هزینه بیمه ای"/>
      <sheetName val="یادداشت10-هزینه بیمه ای"/>
      <sheetName val="یادداشت11-هزینه های مالی"/>
      <sheetName val="تراز کل"/>
      <sheetName val="صورت تغییرات خالص داراییها"/>
      <sheetName val="یادداشت-12"/>
      <sheetName val="یادداشت1-12"/>
      <sheetName val="یادداشت2-12"/>
      <sheetName val="یادداشت-13"/>
      <sheetName val="یادداشت-1-13"/>
      <sheetName val="یادداشت2-13"/>
      <sheetName val="یادداشت-14"/>
      <sheetName val="یادداشت1-14"/>
      <sheetName val="یادداشت2-14"/>
      <sheetName val="یادداشت15-املاک"/>
      <sheetName val="یادداشت16-اوراق سپرده"/>
      <sheetName val="یادداشت-17-تسهیلات"/>
      <sheetName val="یادداشت-18-سپرده بانکی"/>
      <sheetName val="یادداشت1-18-لیست سپرده ها"/>
      <sheetName val="یادداشت-19-موجودی نقد"/>
      <sheetName val="یادداشت-20-بدهی دولت"/>
      <sheetName val="یادداشت-21-حق بیمه دریافتنی"/>
      <sheetName val="یادداشت-22-حسابهای دریافتنی"/>
      <sheetName val="یادداشت-23-پیش پرداختها"/>
      <sheetName val="یادداشت-24-دارایی مشهود"/>
      <sheetName val="یادداشت-25-دارایی نامشهود"/>
      <sheetName val="یادداشت-26-حسابهای پرداختنی"/>
    </sheetNames>
    <sheetDataSet>
      <sheetData sheetId="0"/>
      <sheetData sheetId="1"/>
      <sheetData sheetId="2"/>
      <sheetData sheetId="3">
        <row r="30">
          <cell r="H30">
            <v>60968665289948.961</v>
          </cell>
        </row>
      </sheetData>
      <sheetData sheetId="4"/>
      <sheetData sheetId="5">
        <row r="22">
          <cell r="F22">
            <v>2500000</v>
          </cell>
          <cell r="L22">
            <v>4056698</v>
          </cell>
          <cell r="N22">
            <v>5082500</v>
          </cell>
          <cell r="P22">
            <v>5972362</v>
          </cell>
        </row>
        <row r="24">
          <cell r="L24">
            <v>16181034</v>
          </cell>
          <cell r="N24">
            <v>19139422</v>
          </cell>
          <cell r="P24">
            <v>5972362</v>
          </cell>
        </row>
        <row r="29">
          <cell r="L29">
            <v>0</v>
          </cell>
          <cell r="N29">
            <v>0</v>
          </cell>
          <cell r="P29">
            <v>0</v>
          </cell>
        </row>
      </sheetData>
      <sheetData sheetId="6"/>
      <sheetData sheetId="7"/>
      <sheetData sheetId="8">
        <row r="17">
          <cell r="E17">
            <v>30923</v>
          </cell>
          <cell r="K17">
            <v>18195</v>
          </cell>
          <cell r="O17">
            <v>15769</v>
          </cell>
        </row>
      </sheetData>
      <sheetData sheetId="9">
        <row r="8">
          <cell r="E8">
            <v>1023</v>
          </cell>
          <cell r="K8">
            <v>1088</v>
          </cell>
          <cell r="M8">
            <v>700</v>
          </cell>
          <cell r="O8">
            <v>615</v>
          </cell>
        </row>
      </sheetData>
      <sheetData sheetId="10">
        <row r="25">
          <cell r="D25">
            <v>12000</v>
          </cell>
          <cell r="J25">
            <v>3927</v>
          </cell>
          <cell r="N25">
            <v>6240</v>
          </cell>
        </row>
      </sheetData>
      <sheetData sheetId="11"/>
      <sheetData sheetId="12">
        <row r="16">
          <cell r="F16">
            <v>200000</v>
          </cell>
          <cell r="L16">
            <v>20000</v>
          </cell>
          <cell r="N16">
            <v>100000</v>
          </cell>
          <cell r="P16">
            <v>414770</v>
          </cell>
        </row>
      </sheetData>
      <sheetData sheetId="13">
        <row r="13">
          <cell r="E13">
            <v>1000</v>
          </cell>
          <cell r="K13">
            <v>188</v>
          </cell>
          <cell r="M13">
            <v>500</v>
          </cell>
          <cell r="O13">
            <v>293</v>
          </cell>
        </row>
      </sheetData>
      <sheetData sheetId="14">
        <row r="9">
          <cell r="F9">
            <v>30000</v>
          </cell>
          <cell r="L9">
            <v>2030</v>
          </cell>
          <cell r="N9">
            <v>2500</v>
          </cell>
          <cell r="P9">
            <v>2225</v>
          </cell>
        </row>
      </sheetData>
      <sheetData sheetId="15">
        <row r="11">
          <cell r="D11">
            <v>0</v>
          </cell>
          <cell r="J11">
            <v>14079</v>
          </cell>
          <cell r="L11">
            <v>0</v>
          </cell>
          <cell r="N11">
            <v>14313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rightToLeft="1" topLeftCell="A31" workbookViewId="0">
      <selection activeCell="C56" sqref="C56"/>
    </sheetView>
  </sheetViews>
  <sheetFormatPr defaultRowHeight="14.25" x14ac:dyDescent="0.2"/>
  <cols>
    <col min="1" max="1" width="28.125" customWidth="1"/>
    <col min="2" max="10" width="11.3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3" t="s">
        <v>0</v>
      </c>
      <c r="J1" s="4"/>
    </row>
    <row r="2" spans="1:10" ht="22.5" x14ac:dyDescent="0.2">
      <c r="A2" s="200" t="s">
        <v>1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 ht="26.25" x14ac:dyDescent="0.2">
      <c r="A3" s="5" t="s">
        <v>2</v>
      </c>
      <c r="B3" s="6"/>
      <c r="C3" s="7" t="s">
        <v>3</v>
      </c>
      <c r="D3" s="6"/>
      <c r="E3" s="6"/>
      <c r="F3" s="6"/>
      <c r="G3" s="6"/>
      <c r="H3" s="6"/>
      <c r="I3" s="8" t="s">
        <v>4</v>
      </c>
      <c r="J3" s="9"/>
    </row>
    <row r="4" spans="1:10" ht="22.5" x14ac:dyDescent="0.2">
      <c r="A4" s="10" t="s">
        <v>5</v>
      </c>
      <c r="B4" s="11" t="s">
        <v>6</v>
      </c>
      <c r="C4" s="12" t="s">
        <v>7</v>
      </c>
      <c r="D4" s="11" t="s">
        <v>8</v>
      </c>
      <c r="E4" s="201" t="s">
        <v>9</v>
      </c>
      <c r="F4" s="202"/>
      <c r="G4" s="13" t="s">
        <v>7</v>
      </c>
      <c r="H4" s="11" t="s">
        <v>8</v>
      </c>
      <c r="I4" s="201" t="s">
        <v>10</v>
      </c>
      <c r="J4" s="205"/>
    </row>
    <row r="5" spans="1:10" ht="22.5" x14ac:dyDescent="0.2">
      <c r="A5" s="14"/>
      <c r="B5" s="15" t="s">
        <v>11</v>
      </c>
      <c r="C5" s="16" t="s">
        <v>12</v>
      </c>
      <c r="D5" s="15" t="s">
        <v>13</v>
      </c>
      <c r="E5" s="203"/>
      <c r="F5" s="204"/>
      <c r="G5" s="17" t="s">
        <v>14</v>
      </c>
      <c r="H5" s="15" t="s">
        <v>15</v>
      </c>
      <c r="I5" s="203"/>
      <c r="J5" s="206"/>
    </row>
    <row r="6" spans="1:10" ht="21" x14ac:dyDescent="0.2">
      <c r="A6" s="18" t="s">
        <v>16</v>
      </c>
      <c r="B6" s="19"/>
      <c r="C6" s="20"/>
      <c r="D6" s="19"/>
      <c r="E6" s="21"/>
      <c r="F6" s="22"/>
      <c r="G6" s="23"/>
      <c r="H6" s="19"/>
      <c r="I6" s="21"/>
      <c r="J6" s="24"/>
    </row>
    <row r="7" spans="1:10" ht="21" x14ac:dyDescent="0.2">
      <c r="A7" s="25" t="s">
        <v>17</v>
      </c>
      <c r="B7" s="19">
        <f>318980000</f>
        <v>318980000</v>
      </c>
      <c r="C7" s="20">
        <f>B7/4</f>
        <v>79745000</v>
      </c>
      <c r="D7" s="19">
        <f>91185164-D11-D14</f>
        <v>77338553</v>
      </c>
      <c r="E7" s="21" t="s">
        <v>18</v>
      </c>
      <c r="F7" s="26">
        <f>D7/C7*100</f>
        <v>96.982322402658468</v>
      </c>
      <c r="G7" s="23">
        <f>B7/2</f>
        <v>159490000</v>
      </c>
      <c r="H7" s="19">
        <f>182170261-H11-H14</f>
        <v>154445246</v>
      </c>
      <c r="I7" s="21" t="s">
        <v>18</v>
      </c>
      <c r="J7" s="27">
        <f>H7/G7*100</f>
        <v>96.836946517023009</v>
      </c>
    </row>
    <row r="8" spans="1:10" ht="21" x14ac:dyDescent="0.2">
      <c r="A8" s="25" t="s">
        <v>19</v>
      </c>
      <c r="B8" s="19">
        <v>40536000</v>
      </c>
      <c r="C8" s="20">
        <v>0</v>
      </c>
      <c r="D8" s="19">
        <v>0</v>
      </c>
      <c r="E8" s="21" t="s">
        <v>18</v>
      </c>
      <c r="F8" s="26">
        <v>0</v>
      </c>
      <c r="G8" s="23">
        <v>0</v>
      </c>
      <c r="H8" s="19">
        <v>0</v>
      </c>
      <c r="I8" s="21" t="s">
        <v>18</v>
      </c>
      <c r="J8" s="27">
        <v>0</v>
      </c>
    </row>
    <row r="9" spans="1:10" ht="21" x14ac:dyDescent="0.2">
      <c r="A9" s="25" t="s">
        <v>20</v>
      </c>
      <c r="B9" s="19">
        <v>8164000</v>
      </c>
      <c r="C9" s="20">
        <v>0</v>
      </c>
      <c r="D9" s="19">
        <v>0</v>
      </c>
      <c r="E9" s="21" t="s">
        <v>18</v>
      </c>
      <c r="F9" s="26">
        <v>0</v>
      </c>
      <c r="G9" s="23">
        <v>0</v>
      </c>
      <c r="H9" s="19">
        <v>0</v>
      </c>
      <c r="I9" s="21" t="s">
        <v>18</v>
      </c>
      <c r="J9" s="27">
        <v>0</v>
      </c>
    </row>
    <row r="10" spans="1:10" ht="21" x14ac:dyDescent="0.2">
      <c r="A10" s="28" t="s">
        <v>21</v>
      </c>
      <c r="B10" s="29">
        <f t="shared" ref="B10:D10" si="0">SUM(B7:B9)</f>
        <v>367680000</v>
      </c>
      <c r="C10" s="30">
        <f t="shared" si="0"/>
        <v>79745000</v>
      </c>
      <c r="D10" s="29">
        <f t="shared" si="0"/>
        <v>77338553</v>
      </c>
      <c r="E10" s="31" t="s">
        <v>18</v>
      </c>
      <c r="F10" s="32">
        <f t="shared" ref="F10:F43" si="1">D10/C10*100</f>
        <v>96.982322402658468</v>
      </c>
      <c r="G10" s="33">
        <f t="shared" ref="G10:H10" si="2">SUM(G7:G9)</f>
        <v>159490000</v>
      </c>
      <c r="H10" s="29">
        <f t="shared" si="2"/>
        <v>154445246</v>
      </c>
      <c r="I10" s="31" t="s">
        <v>18</v>
      </c>
      <c r="J10" s="34">
        <f t="shared" ref="J10:J43" si="3">H10/G10*100</f>
        <v>96.836946517023009</v>
      </c>
    </row>
    <row r="11" spans="1:10" ht="21" x14ac:dyDescent="0.2">
      <c r="A11" s="25" t="s">
        <v>22</v>
      </c>
      <c r="B11" s="19">
        <v>0</v>
      </c>
      <c r="C11" s="20">
        <f t="shared" ref="C11:C42" si="4">B11/4</f>
        <v>0</v>
      </c>
      <c r="D11" s="19">
        <f>32500000/4</f>
        <v>8125000</v>
      </c>
      <c r="E11" s="21" t="s">
        <v>18</v>
      </c>
      <c r="F11" s="26">
        <v>0</v>
      </c>
      <c r="G11" s="23">
        <f t="shared" ref="G11:G18" si="5">B11/2</f>
        <v>0</v>
      </c>
      <c r="H11" s="19">
        <f>32500000/2</f>
        <v>16250000</v>
      </c>
      <c r="I11" s="21" t="s">
        <v>18</v>
      </c>
      <c r="J11" s="27">
        <v>0</v>
      </c>
    </row>
    <row r="12" spans="1:10" ht="21" x14ac:dyDescent="0.2">
      <c r="A12" s="25" t="s">
        <v>23</v>
      </c>
      <c r="B12" s="19">
        <v>82000000</v>
      </c>
      <c r="C12" s="20">
        <f t="shared" si="4"/>
        <v>20500000</v>
      </c>
      <c r="D12" s="19">
        <f>21027609-1000000</f>
        <v>20027609</v>
      </c>
      <c r="E12" s="21" t="s">
        <v>18</v>
      </c>
      <c r="F12" s="26">
        <f t="shared" si="1"/>
        <v>97.695653658536585</v>
      </c>
      <c r="G12" s="23">
        <f t="shared" si="5"/>
        <v>41000000</v>
      </c>
      <c r="H12" s="19">
        <v>36194390</v>
      </c>
      <c r="I12" s="21" t="s">
        <v>18</v>
      </c>
      <c r="J12" s="27">
        <f t="shared" si="3"/>
        <v>88.278999999999996</v>
      </c>
    </row>
    <row r="13" spans="1:10" ht="21" x14ac:dyDescent="0.2">
      <c r="A13" s="25" t="s">
        <v>24</v>
      </c>
      <c r="B13" s="19">
        <v>3000000</v>
      </c>
      <c r="C13" s="20">
        <v>3000000</v>
      </c>
      <c r="D13" s="19">
        <f>12592+1000000</f>
        <v>1012592</v>
      </c>
      <c r="E13" s="21" t="s">
        <v>18</v>
      </c>
      <c r="F13" s="26">
        <f t="shared" si="1"/>
        <v>33.753066666666662</v>
      </c>
      <c r="G13" s="23">
        <v>3000000</v>
      </c>
      <c r="H13" s="19">
        <v>3311448</v>
      </c>
      <c r="I13" s="21" t="s">
        <v>18</v>
      </c>
      <c r="J13" s="27">
        <f t="shared" si="3"/>
        <v>110.38159999999999</v>
      </c>
    </row>
    <row r="14" spans="1:10" ht="21" x14ac:dyDescent="0.2">
      <c r="A14" s="25" t="s">
        <v>25</v>
      </c>
      <c r="B14" s="19">
        <v>39380000</v>
      </c>
      <c r="C14" s="20">
        <f>(B14-16000000)/4</f>
        <v>5845000</v>
      </c>
      <c r="D14" s="19">
        <v>5721611</v>
      </c>
      <c r="E14" s="21" t="s">
        <v>18</v>
      </c>
      <c r="F14" s="26">
        <f t="shared" si="1"/>
        <v>97.888982035928137</v>
      </c>
      <c r="G14" s="23">
        <f>(B14-16000000)/2</f>
        <v>11690000</v>
      </c>
      <c r="H14" s="19">
        <v>11475015</v>
      </c>
      <c r="I14" s="21" t="s">
        <v>18</v>
      </c>
      <c r="J14" s="27">
        <f t="shared" si="3"/>
        <v>98.160949529512408</v>
      </c>
    </row>
    <row r="15" spans="1:10" ht="21" x14ac:dyDescent="0.2">
      <c r="A15" s="25" t="s">
        <v>26</v>
      </c>
      <c r="B15" s="19">
        <v>2000000</v>
      </c>
      <c r="C15" s="20">
        <f t="shared" si="4"/>
        <v>500000</v>
      </c>
      <c r="D15" s="19">
        <v>42485</v>
      </c>
      <c r="E15" s="21" t="s">
        <v>18</v>
      </c>
      <c r="F15" s="35">
        <f t="shared" si="1"/>
        <v>8.4969999999999999</v>
      </c>
      <c r="G15" s="23">
        <f t="shared" si="5"/>
        <v>1000000</v>
      </c>
      <c r="H15" s="19">
        <v>285477</v>
      </c>
      <c r="I15" s="21" t="s">
        <v>18</v>
      </c>
      <c r="J15" s="36">
        <f t="shared" si="3"/>
        <v>28.547699999999999</v>
      </c>
    </row>
    <row r="16" spans="1:10" ht="21" x14ac:dyDescent="0.2">
      <c r="A16" s="25" t="s">
        <v>27</v>
      </c>
      <c r="B16" s="19">
        <v>350000</v>
      </c>
      <c r="C16" s="20">
        <f t="shared" si="4"/>
        <v>87500</v>
      </c>
      <c r="D16" s="19">
        <v>28373</v>
      </c>
      <c r="E16" s="21" t="s">
        <v>18</v>
      </c>
      <c r="F16" s="35">
        <f t="shared" si="1"/>
        <v>32.426285714285711</v>
      </c>
      <c r="G16" s="23">
        <f t="shared" si="5"/>
        <v>175000</v>
      </c>
      <c r="H16" s="19">
        <v>146651</v>
      </c>
      <c r="I16" s="21" t="s">
        <v>18</v>
      </c>
      <c r="J16" s="36">
        <f t="shared" si="3"/>
        <v>83.80057142857143</v>
      </c>
    </row>
    <row r="17" spans="1:10" ht="21" x14ac:dyDescent="0.2">
      <c r="A17" s="25" t="s">
        <v>28</v>
      </c>
      <c r="B17" s="19">
        <f>20247000+1500000-350000</f>
        <v>21397000</v>
      </c>
      <c r="C17" s="20">
        <v>11535084</v>
      </c>
      <c r="D17" s="19">
        <v>17552619</v>
      </c>
      <c r="E17" s="21" t="s">
        <v>18</v>
      </c>
      <c r="F17" s="26">
        <f t="shared" si="1"/>
        <v>152.16724039460831</v>
      </c>
      <c r="G17" s="23">
        <v>27630056</v>
      </c>
      <c r="H17" s="19">
        <v>37593090</v>
      </c>
      <c r="I17" s="21" t="s">
        <v>18</v>
      </c>
      <c r="J17" s="27">
        <f t="shared" si="3"/>
        <v>136.05868189337002</v>
      </c>
    </row>
    <row r="18" spans="1:10" ht="21" x14ac:dyDescent="0.2">
      <c r="A18" s="25" t="s">
        <v>29</v>
      </c>
      <c r="B18" s="19">
        <f>((300000*2000000*5)+(340000*2000000*7))/1000000</f>
        <v>7760000</v>
      </c>
      <c r="C18" s="20">
        <f t="shared" si="4"/>
        <v>1940000</v>
      </c>
      <c r="D18" s="19">
        <v>1780536.197407</v>
      </c>
      <c r="E18" s="21" t="s">
        <v>18</v>
      </c>
      <c r="F18" s="26">
        <f t="shared" si="1"/>
        <v>91.780216361185566</v>
      </c>
      <c r="G18" s="23">
        <f t="shared" si="5"/>
        <v>3880000</v>
      </c>
      <c r="H18" s="19">
        <v>3547632</v>
      </c>
      <c r="I18" s="21" t="s">
        <v>18</v>
      </c>
      <c r="J18" s="27">
        <f t="shared" si="3"/>
        <v>91.433814432989692</v>
      </c>
    </row>
    <row r="19" spans="1:10" ht="21" x14ac:dyDescent="0.2">
      <c r="A19" s="37" t="s">
        <v>30</v>
      </c>
      <c r="B19" s="38">
        <f t="shared" ref="B19:D19" si="6">SUM(B10:B18)</f>
        <v>523567000</v>
      </c>
      <c r="C19" s="39">
        <f t="shared" si="6"/>
        <v>123152584</v>
      </c>
      <c r="D19" s="38">
        <f t="shared" si="6"/>
        <v>131629378.19740701</v>
      </c>
      <c r="E19" s="40" t="s">
        <v>18</v>
      </c>
      <c r="F19" s="41">
        <f t="shared" si="1"/>
        <v>106.88316389480468</v>
      </c>
      <c r="G19" s="42">
        <f t="shared" ref="G19:H19" si="7">SUM(G10:G18)</f>
        <v>247865056</v>
      </c>
      <c r="H19" s="38">
        <f t="shared" si="7"/>
        <v>263248949</v>
      </c>
      <c r="I19" s="40" t="s">
        <v>18</v>
      </c>
      <c r="J19" s="43">
        <f t="shared" si="3"/>
        <v>106.20655983068465</v>
      </c>
    </row>
    <row r="20" spans="1:10" ht="21" x14ac:dyDescent="0.2">
      <c r="A20" s="18" t="s">
        <v>31</v>
      </c>
      <c r="B20" s="19"/>
      <c r="C20" s="20"/>
      <c r="D20" s="19"/>
      <c r="E20" s="21"/>
      <c r="F20" s="26"/>
      <c r="G20" s="23"/>
      <c r="H20" s="19"/>
      <c r="I20" s="21"/>
      <c r="J20" s="27"/>
    </row>
    <row r="21" spans="1:10" ht="21" x14ac:dyDescent="0.2">
      <c r="A21" s="28" t="s">
        <v>32</v>
      </c>
      <c r="B21" s="29">
        <f t="shared" ref="B21:D21" si="8">SUM(B22:B25)</f>
        <v>503960000</v>
      </c>
      <c r="C21" s="30">
        <f t="shared" si="8"/>
        <v>119000834.01986755</v>
      </c>
      <c r="D21" s="29">
        <f t="shared" si="8"/>
        <v>129612542</v>
      </c>
      <c r="E21" s="31" t="s">
        <v>18</v>
      </c>
      <c r="F21" s="32">
        <f t="shared" si="1"/>
        <v>108.91733916617827</v>
      </c>
      <c r="G21" s="33">
        <f t="shared" ref="G21:H21" si="9">SUM(G22:G25)</f>
        <v>238064736.46357617</v>
      </c>
      <c r="H21" s="29">
        <f t="shared" si="9"/>
        <v>259283305</v>
      </c>
      <c r="I21" s="31" t="s">
        <v>18</v>
      </c>
      <c r="J21" s="34">
        <f t="shared" si="3"/>
        <v>108.9129405940683</v>
      </c>
    </row>
    <row r="22" spans="1:10" ht="21" x14ac:dyDescent="0.2">
      <c r="A22" s="25" t="s">
        <v>33</v>
      </c>
      <c r="B22" s="19">
        <v>464500000</v>
      </c>
      <c r="C22" s="20">
        <f>(B22/1510000*1426221)/4</f>
        <v>109682062.00331126</v>
      </c>
      <c r="D22" s="19">
        <f>123885421-D23</f>
        <v>115760421</v>
      </c>
      <c r="E22" s="21" t="s">
        <v>18</v>
      </c>
      <c r="F22" s="26">
        <f t="shared" si="1"/>
        <v>105.54179861836045</v>
      </c>
      <c r="G22" s="23">
        <f>(B22/1510000*1426599)/2</f>
        <v>219422263.41059604</v>
      </c>
      <c r="H22" s="19">
        <f>247795844-H23</f>
        <v>231545844</v>
      </c>
      <c r="I22" s="21" t="s">
        <v>18</v>
      </c>
      <c r="J22" s="44">
        <f t="shared" si="3"/>
        <v>105.52522811539757</v>
      </c>
    </row>
    <row r="23" spans="1:10" ht="21" x14ac:dyDescent="0.2">
      <c r="A23" s="25" t="s">
        <v>34</v>
      </c>
      <c r="B23" s="19">
        <v>0</v>
      </c>
      <c r="C23" s="20">
        <f t="shared" si="4"/>
        <v>0</v>
      </c>
      <c r="D23" s="19">
        <f>D11</f>
        <v>8125000</v>
      </c>
      <c r="E23" s="21" t="s">
        <v>18</v>
      </c>
      <c r="F23" s="26">
        <v>0</v>
      </c>
      <c r="G23" s="23">
        <f t="shared" ref="G23:G42" si="10">B23/2</f>
        <v>0</v>
      </c>
      <c r="H23" s="19">
        <f>H11</f>
        <v>16250000</v>
      </c>
      <c r="I23" s="21" t="s">
        <v>18</v>
      </c>
      <c r="J23" s="27">
        <v>0</v>
      </c>
    </row>
    <row r="24" spans="1:10" ht="21" x14ac:dyDescent="0.2">
      <c r="A24" s="25" t="s">
        <v>35</v>
      </c>
      <c r="B24" s="19">
        <v>39380000</v>
      </c>
      <c r="C24" s="20">
        <f>(B24/1510000*1426221)/4</f>
        <v>9298772.0165562928</v>
      </c>
      <c r="D24" s="19">
        <f>D14</f>
        <v>5721611</v>
      </c>
      <c r="E24" s="21" t="s">
        <v>18</v>
      </c>
      <c r="F24" s="26">
        <f t="shared" si="1"/>
        <v>61.530823530384197</v>
      </c>
      <c r="G24" s="23">
        <f>(B24/1510000*1426599)/2</f>
        <v>18602473.052980132</v>
      </c>
      <c r="H24" s="19">
        <f>H14</f>
        <v>11475015</v>
      </c>
      <c r="I24" s="21" t="s">
        <v>18</v>
      </c>
      <c r="J24" s="27">
        <f t="shared" si="3"/>
        <v>61.68542734785305</v>
      </c>
    </row>
    <row r="25" spans="1:10" ht="21" x14ac:dyDescent="0.2">
      <c r="A25" s="25" t="s">
        <v>36</v>
      </c>
      <c r="B25" s="19">
        <v>80000</v>
      </c>
      <c r="C25" s="20">
        <f t="shared" si="4"/>
        <v>20000</v>
      </c>
      <c r="D25" s="19">
        <v>5510</v>
      </c>
      <c r="E25" s="21" t="s">
        <v>18</v>
      </c>
      <c r="F25" s="26">
        <f t="shared" si="1"/>
        <v>27.55</v>
      </c>
      <c r="G25" s="23">
        <f t="shared" si="10"/>
        <v>40000</v>
      </c>
      <c r="H25" s="19">
        <v>12446</v>
      </c>
      <c r="I25" s="21" t="s">
        <v>18</v>
      </c>
      <c r="J25" s="27">
        <f t="shared" si="3"/>
        <v>31.114999999999998</v>
      </c>
    </row>
    <row r="26" spans="1:10" ht="21" x14ac:dyDescent="0.2">
      <c r="A26" s="28" t="s">
        <v>37</v>
      </c>
      <c r="B26" s="29">
        <f t="shared" ref="B26:D26" si="11">SUM(B27:B30)</f>
        <v>1807000</v>
      </c>
      <c r="C26" s="30">
        <f t="shared" si="11"/>
        <v>451750</v>
      </c>
      <c r="D26" s="29">
        <f t="shared" si="11"/>
        <v>418104</v>
      </c>
      <c r="E26" s="31" t="s">
        <v>18</v>
      </c>
      <c r="F26" s="32">
        <f t="shared" si="1"/>
        <v>92.552075262866623</v>
      </c>
      <c r="G26" s="33">
        <f t="shared" ref="G26:H26" si="12">SUM(G27:G30)</f>
        <v>900320</v>
      </c>
      <c r="H26" s="29">
        <f t="shared" si="12"/>
        <v>693719</v>
      </c>
      <c r="I26" s="31" t="s">
        <v>18</v>
      </c>
      <c r="J26" s="34">
        <f t="shared" si="3"/>
        <v>77.052492447129907</v>
      </c>
    </row>
    <row r="27" spans="1:10" ht="21" x14ac:dyDescent="0.2">
      <c r="A27" s="25" t="s">
        <v>38</v>
      </c>
      <c r="B27" s="19">
        <f>'[1]یادداشت-هزینه های پرسنلی 1-9'!D22</f>
        <v>755000</v>
      </c>
      <c r="C27" s="20">
        <f t="shared" si="4"/>
        <v>188750</v>
      </c>
      <c r="D27" s="19">
        <f>162189+26021</f>
        <v>188210</v>
      </c>
      <c r="E27" s="21" t="s">
        <v>18</v>
      </c>
      <c r="F27" s="26">
        <f t="shared" si="1"/>
        <v>99.713907284768212</v>
      </c>
      <c r="G27" s="23">
        <f>(B27-6360)/2</f>
        <v>374320</v>
      </c>
      <c r="H27" s="19">
        <f>186625+35063+4000+72536+7500</f>
        <v>305724</v>
      </c>
      <c r="I27" s="21" t="s">
        <v>18</v>
      </c>
      <c r="J27" s="27">
        <f t="shared" si="3"/>
        <v>81.674503098952769</v>
      </c>
    </row>
    <row r="28" spans="1:10" ht="21" x14ac:dyDescent="0.2">
      <c r="A28" s="25" t="s">
        <v>39</v>
      </c>
      <c r="B28" s="19">
        <f>'[1]یادداشت-هزینه دارائی2-9'!C11</f>
        <v>19000</v>
      </c>
      <c r="C28" s="20">
        <f t="shared" si="4"/>
        <v>4750</v>
      </c>
      <c r="D28" s="19">
        <v>622</v>
      </c>
      <c r="E28" s="21" t="s">
        <v>18</v>
      </c>
      <c r="F28" s="26">
        <f t="shared" si="1"/>
        <v>13.094736842105261</v>
      </c>
      <c r="G28" s="23">
        <f t="shared" si="10"/>
        <v>9500</v>
      </c>
      <c r="H28" s="19">
        <v>2765</v>
      </c>
      <c r="I28" s="21" t="s">
        <v>18</v>
      </c>
      <c r="J28" s="27">
        <f t="shared" si="3"/>
        <v>29.10526315789474</v>
      </c>
    </row>
    <row r="29" spans="1:10" ht="21" x14ac:dyDescent="0.2">
      <c r="A29" s="25" t="s">
        <v>40</v>
      </c>
      <c r="B29" s="19">
        <f>'[1]یادداشت-هزینه اداری3-9 '!C26</f>
        <v>333000</v>
      </c>
      <c r="C29" s="20">
        <f t="shared" si="4"/>
        <v>83250</v>
      </c>
      <c r="D29" s="19">
        <f>149+33+95+28375+17114</f>
        <v>45766</v>
      </c>
      <c r="E29" s="21" t="s">
        <v>18</v>
      </c>
      <c r="F29" s="26">
        <f t="shared" si="1"/>
        <v>54.974174174174173</v>
      </c>
      <c r="G29" s="23">
        <f t="shared" si="10"/>
        <v>166500</v>
      </c>
      <c r="H29" s="19">
        <f>82219+40+273+967+3447</f>
        <v>86946</v>
      </c>
      <c r="I29" s="21" t="s">
        <v>18</v>
      </c>
      <c r="J29" s="27">
        <f t="shared" si="3"/>
        <v>52.219819819819826</v>
      </c>
    </row>
    <row r="30" spans="1:10" ht="21" x14ac:dyDescent="0.2">
      <c r="A30" s="25" t="s">
        <v>41</v>
      </c>
      <c r="B30" s="19">
        <f>'[1]یادداشت-هزینه بیمه ای4-9'!C13</f>
        <v>700000</v>
      </c>
      <c r="C30" s="20">
        <f t="shared" si="4"/>
        <v>175000</v>
      </c>
      <c r="D30" s="19">
        <f>120612+10705+917+10561+40711</f>
        <v>183506</v>
      </c>
      <c r="E30" s="21" t="s">
        <v>18</v>
      </c>
      <c r="F30" s="26">
        <f t="shared" si="1"/>
        <v>104.86057142857143</v>
      </c>
      <c r="G30" s="23">
        <f t="shared" si="10"/>
        <v>350000</v>
      </c>
      <c r="H30" s="19">
        <f>155674+21440+23944+97226</f>
        <v>298284</v>
      </c>
      <c r="I30" s="21" t="s">
        <v>18</v>
      </c>
      <c r="J30" s="27">
        <f t="shared" si="3"/>
        <v>85.224000000000004</v>
      </c>
    </row>
    <row r="31" spans="1:10" ht="21" x14ac:dyDescent="0.2">
      <c r="A31" s="28" t="s">
        <v>42</v>
      </c>
      <c r="B31" s="29">
        <f t="shared" ref="B31:D31" si="13">SUM(B32:B35)</f>
        <v>800000</v>
      </c>
      <c r="C31" s="30">
        <f t="shared" si="13"/>
        <v>200000</v>
      </c>
      <c r="D31" s="29">
        <f t="shared" si="13"/>
        <v>171155</v>
      </c>
      <c r="E31" s="31" t="s">
        <v>18</v>
      </c>
      <c r="F31" s="32">
        <f t="shared" si="1"/>
        <v>85.577500000000001</v>
      </c>
      <c r="G31" s="33">
        <f t="shared" ref="G31:H31" si="14">SUM(G32:G35)</f>
        <v>400000</v>
      </c>
      <c r="H31" s="29">
        <f t="shared" si="14"/>
        <v>391552</v>
      </c>
      <c r="I31" s="31" t="s">
        <v>18</v>
      </c>
      <c r="J31" s="34">
        <f t="shared" si="3"/>
        <v>97.887999999999991</v>
      </c>
    </row>
    <row r="32" spans="1:10" ht="21" x14ac:dyDescent="0.2">
      <c r="A32" s="25" t="s">
        <v>43</v>
      </c>
      <c r="B32" s="19">
        <v>500000</v>
      </c>
      <c r="C32" s="20">
        <f t="shared" si="4"/>
        <v>125000</v>
      </c>
      <c r="D32" s="19">
        <v>51634</v>
      </c>
      <c r="E32" s="21" t="s">
        <v>18</v>
      </c>
      <c r="F32" s="26">
        <f t="shared" si="1"/>
        <v>41.307200000000002</v>
      </c>
      <c r="G32" s="23">
        <f t="shared" si="10"/>
        <v>250000</v>
      </c>
      <c r="H32" s="19">
        <v>266134</v>
      </c>
      <c r="I32" s="21" t="s">
        <v>18</v>
      </c>
      <c r="J32" s="27">
        <f t="shared" si="3"/>
        <v>106.45359999999999</v>
      </c>
    </row>
    <row r="33" spans="1:10" ht="21" x14ac:dyDescent="0.2">
      <c r="A33" s="25" t="s">
        <v>44</v>
      </c>
      <c r="B33" s="19">
        <v>200000</v>
      </c>
      <c r="C33" s="20">
        <f t="shared" si="4"/>
        <v>50000</v>
      </c>
      <c r="D33" s="19">
        <f>65509+48190</f>
        <v>113699</v>
      </c>
      <c r="E33" s="21" t="s">
        <v>18</v>
      </c>
      <c r="F33" s="26">
        <f t="shared" si="1"/>
        <v>227.398</v>
      </c>
      <c r="G33" s="23">
        <f t="shared" si="10"/>
        <v>100000</v>
      </c>
      <c r="H33" s="19">
        <f>65509+48190</f>
        <v>113699</v>
      </c>
      <c r="I33" s="21" t="s">
        <v>18</v>
      </c>
      <c r="J33" s="27">
        <f t="shared" si="3"/>
        <v>113.699</v>
      </c>
    </row>
    <row r="34" spans="1:10" ht="21" x14ac:dyDescent="0.2">
      <c r="A34" s="25" t="s">
        <v>45</v>
      </c>
      <c r="B34" s="19">
        <v>50000</v>
      </c>
      <c r="C34" s="20">
        <f t="shared" si="4"/>
        <v>12500</v>
      </c>
      <c r="D34" s="19">
        <v>5068</v>
      </c>
      <c r="E34" s="21" t="s">
        <v>18</v>
      </c>
      <c r="F34" s="26">
        <f t="shared" si="1"/>
        <v>40.544000000000004</v>
      </c>
      <c r="G34" s="23">
        <f t="shared" si="10"/>
        <v>25000</v>
      </c>
      <c r="H34" s="19">
        <v>10801</v>
      </c>
      <c r="I34" s="21" t="s">
        <v>18</v>
      </c>
      <c r="J34" s="27">
        <f t="shared" si="3"/>
        <v>43.204000000000001</v>
      </c>
    </row>
    <row r="35" spans="1:10" ht="21" x14ac:dyDescent="0.2">
      <c r="A35" s="25" t="s">
        <v>46</v>
      </c>
      <c r="B35" s="19">
        <v>50000</v>
      </c>
      <c r="C35" s="20">
        <f t="shared" si="4"/>
        <v>12500</v>
      </c>
      <c r="D35" s="19">
        <f>654+100</f>
        <v>754</v>
      </c>
      <c r="E35" s="21" t="s">
        <v>18</v>
      </c>
      <c r="F35" s="26">
        <f t="shared" si="1"/>
        <v>6.032</v>
      </c>
      <c r="G35" s="23">
        <f t="shared" si="10"/>
        <v>25000</v>
      </c>
      <c r="H35" s="19">
        <f>654+264</f>
        <v>918</v>
      </c>
      <c r="I35" s="21" t="s">
        <v>18</v>
      </c>
      <c r="J35" s="27">
        <f t="shared" si="3"/>
        <v>3.6720000000000002</v>
      </c>
    </row>
    <row r="36" spans="1:10" ht="21" x14ac:dyDescent="0.2">
      <c r="A36" s="28" t="s">
        <v>47</v>
      </c>
      <c r="B36" s="29">
        <f t="shared" ref="B36:D36" si="15">SUM(B37:B38)</f>
        <v>14000000</v>
      </c>
      <c r="C36" s="30">
        <f t="shared" si="15"/>
        <v>2750000</v>
      </c>
      <c r="D36" s="29">
        <f t="shared" si="15"/>
        <v>1427577</v>
      </c>
      <c r="E36" s="31" t="s">
        <v>18</v>
      </c>
      <c r="F36" s="32">
        <f t="shared" si="1"/>
        <v>51.911890909090907</v>
      </c>
      <c r="G36" s="33">
        <f t="shared" ref="G36:H36" si="16">SUM(G37:G38)</f>
        <v>7000000</v>
      </c>
      <c r="H36" s="29">
        <f t="shared" si="16"/>
        <v>2880373</v>
      </c>
      <c r="I36" s="31" t="s">
        <v>18</v>
      </c>
      <c r="J36" s="34">
        <f t="shared" si="3"/>
        <v>41.148185714285709</v>
      </c>
    </row>
    <row r="37" spans="1:10" ht="21" x14ac:dyDescent="0.2">
      <c r="A37" s="25" t="s">
        <v>48</v>
      </c>
      <c r="B37" s="19">
        <v>0</v>
      </c>
      <c r="C37" s="20">
        <f t="shared" si="4"/>
        <v>0</v>
      </c>
      <c r="D37" s="19">
        <v>0</v>
      </c>
      <c r="E37" s="21" t="s">
        <v>18</v>
      </c>
      <c r="F37" s="26">
        <v>0</v>
      </c>
      <c r="G37" s="23">
        <f t="shared" si="10"/>
        <v>0</v>
      </c>
      <c r="H37" s="19">
        <v>0</v>
      </c>
      <c r="I37" s="21" t="s">
        <v>18</v>
      </c>
      <c r="J37" s="27">
        <v>0</v>
      </c>
    </row>
    <row r="38" spans="1:10" ht="21" x14ac:dyDescent="0.2">
      <c r="A38" s="25" t="s">
        <v>49</v>
      </c>
      <c r="B38" s="19">
        <v>14000000</v>
      </c>
      <c r="C38" s="20">
        <f>11000000/12*3</f>
        <v>2750000</v>
      </c>
      <c r="D38" s="19">
        <f>1213619+76957+13406+5916+117679</f>
        <v>1427577</v>
      </c>
      <c r="E38" s="21" t="s">
        <v>18</v>
      </c>
      <c r="F38" s="26">
        <f t="shared" si="1"/>
        <v>51.911890909090907</v>
      </c>
      <c r="G38" s="23">
        <f t="shared" si="10"/>
        <v>7000000</v>
      </c>
      <c r="H38" s="19">
        <f>2857169+13406+9798</f>
        <v>2880373</v>
      </c>
      <c r="I38" s="21" t="s">
        <v>18</v>
      </c>
      <c r="J38" s="27">
        <f t="shared" si="3"/>
        <v>41.148185714285709</v>
      </c>
    </row>
    <row r="39" spans="1:10" ht="21" x14ac:dyDescent="0.2">
      <c r="A39" s="28" t="s">
        <v>50</v>
      </c>
      <c r="B39" s="29">
        <f t="shared" ref="B39" si="17">SUM(B40:B42)</f>
        <v>3000000</v>
      </c>
      <c r="C39" s="30">
        <f t="shared" si="4"/>
        <v>750000</v>
      </c>
      <c r="D39" s="29"/>
      <c r="E39" s="31" t="s">
        <v>18</v>
      </c>
      <c r="F39" s="32">
        <f t="shared" si="1"/>
        <v>0</v>
      </c>
      <c r="G39" s="33">
        <f t="shared" si="10"/>
        <v>1500000</v>
      </c>
      <c r="H39" s="29"/>
      <c r="I39" s="31" t="s">
        <v>18</v>
      </c>
      <c r="J39" s="34">
        <f t="shared" si="3"/>
        <v>0</v>
      </c>
    </row>
    <row r="40" spans="1:10" ht="21" x14ac:dyDescent="0.2">
      <c r="A40" s="25" t="s">
        <v>51</v>
      </c>
      <c r="B40" s="19">
        <v>2500000</v>
      </c>
      <c r="C40" s="20">
        <f t="shared" si="4"/>
        <v>625000</v>
      </c>
      <c r="D40" s="19">
        <v>64909</v>
      </c>
      <c r="E40" s="21" t="s">
        <v>18</v>
      </c>
      <c r="F40" s="26">
        <f t="shared" si="1"/>
        <v>10.385439999999999</v>
      </c>
      <c r="G40" s="23">
        <f t="shared" si="10"/>
        <v>1250000</v>
      </c>
      <c r="H40" s="19">
        <v>97220</v>
      </c>
      <c r="I40" s="21" t="s">
        <v>18</v>
      </c>
      <c r="J40" s="27">
        <f t="shared" si="3"/>
        <v>7.7775999999999996</v>
      </c>
    </row>
    <row r="41" spans="1:10" ht="21" x14ac:dyDescent="0.2">
      <c r="A41" s="25" t="s">
        <v>52</v>
      </c>
      <c r="B41" s="19">
        <v>0</v>
      </c>
      <c r="C41" s="20">
        <f t="shared" si="4"/>
        <v>0</v>
      </c>
      <c r="D41" s="19">
        <v>0</v>
      </c>
      <c r="E41" s="21" t="s">
        <v>18</v>
      </c>
      <c r="F41" s="26">
        <v>0</v>
      </c>
      <c r="G41" s="23">
        <f t="shared" si="10"/>
        <v>0</v>
      </c>
      <c r="H41" s="19">
        <v>0</v>
      </c>
      <c r="I41" s="21" t="s">
        <v>18</v>
      </c>
      <c r="J41" s="27">
        <v>0</v>
      </c>
    </row>
    <row r="42" spans="1:10" ht="21" x14ac:dyDescent="0.2">
      <c r="A42" s="25" t="s">
        <v>53</v>
      </c>
      <c r="B42" s="19">
        <v>500000</v>
      </c>
      <c r="C42" s="20">
        <f t="shared" si="4"/>
        <v>125000</v>
      </c>
      <c r="D42" s="19">
        <v>65079</v>
      </c>
      <c r="E42" s="21" t="s">
        <v>18</v>
      </c>
      <c r="F42" s="26">
        <f t="shared" si="1"/>
        <v>52.063199999999995</v>
      </c>
      <c r="G42" s="23">
        <f t="shared" si="10"/>
        <v>250000</v>
      </c>
      <c r="H42" s="19">
        <v>214355</v>
      </c>
      <c r="I42" s="21" t="s">
        <v>18</v>
      </c>
      <c r="J42" s="27">
        <f t="shared" si="3"/>
        <v>85.74199999999999</v>
      </c>
    </row>
    <row r="43" spans="1:10" ht="21" x14ac:dyDescent="0.2">
      <c r="A43" s="37" t="s">
        <v>54</v>
      </c>
      <c r="B43" s="38">
        <f t="shared" ref="B43:D43" si="18">B39+B36+B31+B26+B21</f>
        <v>523567000</v>
      </c>
      <c r="C43" s="39">
        <f t="shared" si="18"/>
        <v>123152584.01986755</v>
      </c>
      <c r="D43" s="38">
        <f t="shared" si="18"/>
        <v>131629378</v>
      </c>
      <c r="E43" s="40" t="s">
        <v>18</v>
      </c>
      <c r="F43" s="41">
        <f t="shared" si="1"/>
        <v>106.88316371726714</v>
      </c>
      <c r="G43" s="42">
        <f t="shared" ref="G43:H43" si="19">G39+G36+G31+G26+G21</f>
        <v>247865056.46357617</v>
      </c>
      <c r="H43" s="38">
        <f t="shared" si="19"/>
        <v>263248949</v>
      </c>
      <c r="I43" s="40" t="s">
        <v>18</v>
      </c>
      <c r="J43" s="43">
        <f t="shared" si="3"/>
        <v>106.20655963204901</v>
      </c>
    </row>
    <row r="44" spans="1:10" ht="21" x14ac:dyDescent="0.2">
      <c r="A44" s="45"/>
      <c r="B44" s="45"/>
      <c r="C44" s="45"/>
      <c r="D44" s="45"/>
      <c r="E44" s="46"/>
      <c r="F44" s="47"/>
      <c r="G44" s="45"/>
      <c r="H44" s="45"/>
      <c r="I44" s="46"/>
      <c r="J44" s="47"/>
    </row>
  </sheetData>
  <mergeCells count="3">
    <mergeCell ref="A2:J2"/>
    <mergeCell ref="E4:F5"/>
    <mergeCell ref="I4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rightToLeft="1" tabSelected="1" workbookViewId="0">
      <selection activeCell="N8" sqref="N8"/>
    </sheetView>
  </sheetViews>
  <sheetFormatPr defaultRowHeight="14.25" x14ac:dyDescent="0.2"/>
  <cols>
    <col min="1" max="1" width="55.25" style="90" customWidth="1"/>
    <col min="2" max="2" width="25.625" style="91" customWidth="1"/>
    <col min="3" max="3" width="3.625" style="92" hidden="1" customWidth="1"/>
    <col min="4" max="4" width="13.5" style="92" customWidth="1"/>
    <col min="5" max="5" width="15.625" style="2" customWidth="1"/>
    <col min="6" max="6" width="2.375" style="2" hidden="1" customWidth="1"/>
    <col min="7" max="7" width="11.375" style="2" hidden="1" customWidth="1"/>
    <col min="8" max="8" width="2.125" style="2" customWidth="1"/>
    <col min="9" max="9" width="10" style="2" customWidth="1"/>
    <col min="11" max="11" width="8.75" bestFit="1" customWidth="1"/>
  </cols>
  <sheetData>
    <row r="1" spans="1:11" ht="25.5" customHeight="1" x14ac:dyDescent="0.2">
      <c r="A1" s="227" t="s">
        <v>74</v>
      </c>
      <c r="B1" s="228"/>
      <c r="C1" s="48"/>
      <c r="D1" s="209" t="s">
        <v>55</v>
      </c>
      <c r="E1" s="211" t="s">
        <v>56</v>
      </c>
      <c r="F1" s="209" t="s">
        <v>57</v>
      </c>
      <c r="G1" s="211" t="s">
        <v>58</v>
      </c>
      <c r="H1" s="213" t="s">
        <v>59</v>
      </c>
      <c r="I1" s="214"/>
      <c r="J1" s="217" t="s">
        <v>60</v>
      </c>
      <c r="K1" s="218"/>
    </row>
    <row r="2" spans="1:11" ht="26.25" thickBot="1" x14ac:dyDescent="0.25">
      <c r="A2" s="229"/>
      <c r="B2" s="230"/>
      <c r="C2" s="49"/>
      <c r="D2" s="210"/>
      <c r="E2" s="231"/>
      <c r="F2" s="210"/>
      <c r="G2" s="212"/>
      <c r="H2" s="215"/>
      <c r="I2" s="216"/>
      <c r="J2" s="219"/>
      <c r="K2" s="220"/>
    </row>
    <row r="3" spans="1:11" ht="25.5" customHeight="1" thickBot="1" x14ac:dyDescent="0.25">
      <c r="A3" s="221" t="s">
        <v>16</v>
      </c>
      <c r="B3" s="222"/>
      <c r="C3" s="94"/>
      <c r="D3" s="95"/>
      <c r="E3" s="97"/>
      <c r="F3" s="96"/>
      <c r="G3" s="97"/>
      <c r="H3" s="223"/>
      <c r="I3" s="224"/>
      <c r="J3" s="225"/>
      <c r="K3" s="226"/>
    </row>
    <row r="4" spans="1:11" ht="25.5" thickBot="1" x14ac:dyDescent="0.25">
      <c r="A4" s="98" t="s">
        <v>75</v>
      </c>
      <c r="B4" s="50"/>
      <c r="C4" s="50"/>
      <c r="D4" s="99"/>
      <c r="E4" s="100">
        <f t="shared" ref="E4:G4" ca="1" si="0">SUM(E5:E16)</f>
        <v>381548353</v>
      </c>
      <c r="F4" s="101">
        <f t="shared" ca="1" si="0"/>
        <v>407060000</v>
      </c>
      <c r="G4" s="100">
        <f t="shared" ca="1" si="0"/>
        <v>298737299.72808051</v>
      </c>
      <c r="H4" s="102" t="s">
        <v>18</v>
      </c>
      <c r="I4" s="103">
        <f t="shared" ref="I4:I9" ca="1" si="1">(E4-G4)/G4*100</f>
        <v>27.72035944199019</v>
      </c>
      <c r="J4" s="104" t="s">
        <v>18</v>
      </c>
      <c r="K4" s="105">
        <f ca="1">(#REF!-E4)/E4*100</f>
        <v>37.783585190839496</v>
      </c>
    </row>
    <row r="5" spans="1:11" ht="24.75" customHeight="1" x14ac:dyDescent="0.2">
      <c r="A5" s="232" t="s">
        <v>76</v>
      </c>
      <c r="B5" s="106" t="s">
        <v>77</v>
      </c>
      <c r="C5" s="51" t="s">
        <v>61</v>
      </c>
      <c r="D5" s="107">
        <v>1</v>
      </c>
      <c r="E5" s="109">
        <f ca="1">352948353-E6-E7-E8-E9-E14</f>
        <v>170978499</v>
      </c>
      <c r="F5" s="108">
        <v>318980000</v>
      </c>
      <c r="G5" s="109">
        <v>123036140</v>
      </c>
      <c r="H5" s="110" t="s">
        <v>18</v>
      </c>
      <c r="I5" s="111">
        <f t="shared" ca="1" si="1"/>
        <v>38.966078584715028</v>
      </c>
      <c r="J5" s="112" t="s">
        <v>18</v>
      </c>
      <c r="K5" s="113">
        <f ca="1">(#REF!-E5)/E5*100</f>
        <v>8.394136738795444</v>
      </c>
    </row>
    <row r="6" spans="1:11" ht="24.75" x14ac:dyDescent="0.2">
      <c r="A6" s="233"/>
      <c r="B6" s="114" t="s">
        <v>78</v>
      </c>
      <c r="C6" s="52" t="s">
        <v>61</v>
      </c>
      <c r="D6" s="115" t="s">
        <v>62</v>
      </c>
      <c r="E6" s="117">
        <v>83885567</v>
      </c>
      <c r="F6" s="116"/>
      <c r="G6" s="117">
        <f ca="1">'[2]یادداشت1-1-1-اعتبارت'!H30/1000000</f>
        <v>71089463.728080481</v>
      </c>
      <c r="H6" s="118" t="s">
        <v>18</v>
      </c>
      <c r="I6" s="119">
        <f t="shared" ca="1" si="1"/>
        <v>17.999999719881181</v>
      </c>
      <c r="J6" s="120" t="s">
        <v>18</v>
      </c>
      <c r="K6" s="121">
        <f ca="1">(#REF!-E6)/E6*100</f>
        <v>14.999999940394989</v>
      </c>
    </row>
    <row r="7" spans="1:11" ht="27" customHeight="1" x14ac:dyDescent="0.2">
      <c r="A7" s="233"/>
      <c r="B7" s="114" t="s">
        <v>79</v>
      </c>
      <c r="C7" s="52" t="s">
        <v>61</v>
      </c>
      <c r="D7" s="115" t="s">
        <v>63</v>
      </c>
      <c r="E7" s="117">
        <v>5454654</v>
      </c>
      <c r="F7" s="116"/>
      <c r="G7" s="117">
        <f ca="1">'[2]یادداشت3و2-1-1-اعتبارات'!F23</f>
        <v>4622588</v>
      </c>
      <c r="H7" s="118" t="s">
        <v>18</v>
      </c>
      <c r="I7" s="119">
        <f t="shared" ca="1" si="1"/>
        <v>18.000003461264555</v>
      </c>
      <c r="J7" s="120" t="s">
        <v>18</v>
      </c>
      <c r="K7" s="121">
        <f ca="1">(#REF!-E7)/E7*100</f>
        <v>33.094638083368807</v>
      </c>
    </row>
    <row r="8" spans="1:11" ht="24.75" x14ac:dyDescent="0.2">
      <c r="A8" s="233"/>
      <c r="B8" s="114" t="s">
        <v>80</v>
      </c>
      <c r="C8" s="52" t="s">
        <v>61</v>
      </c>
      <c r="D8" s="115" t="s">
        <v>64</v>
      </c>
      <c r="E8" s="117">
        <v>27517600</v>
      </c>
      <c r="F8" s="116">
        <v>0</v>
      </c>
      <c r="G8" s="122">
        <v>23320000</v>
      </c>
      <c r="H8" s="118" t="s">
        <v>18</v>
      </c>
      <c r="I8" s="119">
        <f t="shared" ca="1" si="1"/>
        <v>18</v>
      </c>
      <c r="J8" s="120" t="s">
        <v>18</v>
      </c>
      <c r="K8" s="121">
        <f ca="1">(#REF!-E8)/E8*100</f>
        <v>15</v>
      </c>
    </row>
    <row r="9" spans="1:11" ht="24.75" x14ac:dyDescent="0.2">
      <c r="A9" s="233"/>
      <c r="B9" s="114" t="s">
        <v>81</v>
      </c>
      <c r="C9" s="52" t="s">
        <v>61</v>
      </c>
      <c r="D9" s="115" t="s">
        <v>64</v>
      </c>
      <c r="E9" s="117">
        <v>25732033</v>
      </c>
      <c r="F9" s="116">
        <v>0</v>
      </c>
      <c r="G9" s="122">
        <v>21806808</v>
      </c>
      <c r="H9" s="118" t="s">
        <v>18</v>
      </c>
      <c r="I9" s="119">
        <f t="shared" ca="1" si="1"/>
        <v>17.999997982281496</v>
      </c>
      <c r="J9" s="120" t="s">
        <v>18</v>
      </c>
      <c r="K9" s="121">
        <f ca="1">(#REF!-E9)/E9*100</f>
        <v>15.000000194310337</v>
      </c>
    </row>
    <row r="10" spans="1:11" ht="24.75" x14ac:dyDescent="0.2">
      <c r="A10" s="233"/>
      <c r="B10" s="114" t="s">
        <v>82</v>
      </c>
      <c r="C10" s="52" t="s">
        <v>61</v>
      </c>
      <c r="D10" s="115" t="s">
        <v>64</v>
      </c>
      <c r="E10" s="117">
        <v>28600000</v>
      </c>
      <c r="F10" s="116">
        <v>0</v>
      </c>
      <c r="G10" s="122">
        <v>0</v>
      </c>
      <c r="H10" s="118" t="s">
        <v>18</v>
      </c>
      <c r="I10" s="119">
        <f ca="1">(E10-G9)/G9*100</f>
        <v>31.151702715959161</v>
      </c>
      <c r="J10" s="120" t="s">
        <v>18</v>
      </c>
      <c r="K10" s="121">
        <f ca="1">(#REF!-E10)/E10*100</f>
        <v>30.681818181818183</v>
      </c>
    </row>
    <row r="11" spans="1:11" ht="24.75" x14ac:dyDescent="0.2">
      <c r="A11" s="233"/>
      <c r="B11" s="114" t="s">
        <v>83</v>
      </c>
      <c r="C11" s="52"/>
      <c r="D11" s="115" t="s">
        <v>64</v>
      </c>
      <c r="E11" s="117">
        <v>0</v>
      </c>
      <c r="F11" s="116">
        <v>0</v>
      </c>
      <c r="G11" s="122">
        <v>0</v>
      </c>
      <c r="H11" s="118" t="s">
        <v>18</v>
      </c>
      <c r="I11" s="119">
        <v>0</v>
      </c>
      <c r="J11" s="120" t="s">
        <v>18</v>
      </c>
      <c r="K11" s="121">
        <v>100</v>
      </c>
    </row>
    <row r="12" spans="1:11" ht="24.75" x14ac:dyDescent="0.2">
      <c r="A12" s="233"/>
      <c r="B12" s="114" t="s">
        <v>84</v>
      </c>
      <c r="C12" s="52"/>
      <c r="D12" s="123">
        <v>1</v>
      </c>
      <c r="E12" s="117">
        <v>0</v>
      </c>
      <c r="F12" s="116">
        <v>40536000</v>
      </c>
      <c r="G12" s="117">
        <v>23797300</v>
      </c>
      <c r="H12" s="118" t="s">
        <v>18</v>
      </c>
      <c r="I12" s="119">
        <v>0</v>
      </c>
      <c r="J12" s="120" t="s">
        <v>18</v>
      </c>
      <c r="K12" s="121">
        <v>0</v>
      </c>
    </row>
    <row r="13" spans="1:11" ht="24.75" x14ac:dyDescent="0.2">
      <c r="A13" s="234"/>
      <c r="B13" s="114" t="s">
        <v>85</v>
      </c>
      <c r="C13" s="52"/>
      <c r="D13" s="123">
        <v>1</v>
      </c>
      <c r="E13" s="117">
        <v>0</v>
      </c>
      <c r="F13" s="116">
        <v>8164000</v>
      </c>
      <c r="G13" s="117">
        <v>0</v>
      </c>
      <c r="H13" s="118" t="s">
        <v>18</v>
      </c>
      <c r="I13" s="119">
        <v>0</v>
      </c>
      <c r="J13" s="120" t="s">
        <v>18</v>
      </c>
      <c r="K13" s="121">
        <v>0</v>
      </c>
    </row>
    <row r="14" spans="1:11" ht="24.75" x14ac:dyDescent="0.2">
      <c r="A14" s="124" t="s">
        <v>86</v>
      </c>
      <c r="B14" s="125"/>
      <c r="C14" s="53" t="s">
        <v>61</v>
      </c>
      <c r="D14" s="123">
        <v>1</v>
      </c>
      <c r="E14" s="117">
        <v>39380000</v>
      </c>
      <c r="F14" s="126">
        <v>39380000</v>
      </c>
      <c r="G14" s="122">
        <v>31065000</v>
      </c>
      <c r="H14" s="118" t="s">
        <v>18</v>
      </c>
      <c r="I14" s="119">
        <f ca="1">(E14-G14)/G14*100</f>
        <v>26.766457427973606</v>
      </c>
      <c r="J14" s="120" t="s">
        <v>18</v>
      </c>
      <c r="K14" s="121">
        <f ca="1">(#REF!-E14)/E14*100</f>
        <v>19.349923819197564</v>
      </c>
    </row>
    <row r="15" spans="1:11" ht="24.75" x14ac:dyDescent="0.2">
      <c r="A15" s="124" t="s">
        <v>87</v>
      </c>
      <c r="B15" s="54"/>
      <c r="C15" s="54"/>
      <c r="D15" s="123">
        <v>1</v>
      </c>
      <c r="E15" s="127">
        <v>0</v>
      </c>
      <c r="F15" s="129">
        <v>0</v>
      </c>
      <c r="G15" s="130">
        <v>0</v>
      </c>
      <c r="H15" s="131"/>
      <c r="I15" s="132"/>
      <c r="J15" s="120" t="s">
        <v>18</v>
      </c>
      <c r="K15" s="133">
        <v>100</v>
      </c>
    </row>
    <row r="16" spans="1:11" ht="25.5" thickBot="1" x14ac:dyDescent="0.25">
      <c r="A16" s="207" t="s">
        <v>88</v>
      </c>
      <c r="B16" s="208"/>
      <c r="C16" s="55"/>
      <c r="D16" s="134"/>
      <c r="E16" s="127">
        <v>0</v>
      </c>
      <c r="F16" s="129">
        <v>0</v>
      </c>
      <c r="G16" s="130">
        <v>0</v>
      </c>
      <c r="H16" s="131" t="s">
        <v>18</v>
      </c>
      <c r="I16" s="132">
        <v>0</v>
      </c>
      <c r="J16" s="135" t="s">
        <v>18</v>
      </c>
      <c r="K16" s="133">
        <v>100</v>
      </c>
    </row>
    <row r="17" spans="1:11" ht="25.5" thickBot="1" x14ac:dyDescent="0.25">
      <c r="A17" s="235" t="s">
        <v>89</v>
      </c>
      <c r="B17" s="236"/>
      <c r="C17" s="56"/>
      <c r="D17" s="99"/>
      <c r="E17" s="100">
        <f t="shared" ref="E17:G17" ca="1" si="2">SUM(E18:E19)</f>
        <v>103848307</v>
      </c>
      <c r="F17" s="101">
        <f t="shared" ca="1" si="2"/>
        <v>85000000</v>
      </c>
      <c r="G17" s="100">
        <f t="shared" ca="1" si="2"/>
        <v>87830395</v>
      </c>
      <c r="H17" s="102" t="s">
        <v>18</v>
      </c>
      <c r="I17" s="103">
        <f t="shared" ref="I17:I30" ca="1" si="3">(E17-G17)/G17*100</f>
        <v>18.237322056902965</v>
      </c>
      <c r="J17" s="104" t="s">
        <v>18</v>
      </c>
      <c r="K17" s="105">
        <f ca="1">(#REF!-E17)/E17*100</f>
        <v>51.476234465719308</v>
      </c>
    </row>
    <row r="18" spans="1:11" ht="24.75" x14ac:dyDescent="0.2">
      <c r="A18" s="237" t="s">
        <v>23</v>
      </c>
      <c r="B18" s="238"/>
      <c r="C18" s="57"/>
      <c r="D18" s="107">
        <v>2</v>
      </c>
      <c r="E18" s="109">
        <f ca="1">103848307-E19</f>
        <v>95818662</v>
      </c>
      <c r="F18" s="136">
        <v>82000000</v>
      </c>
      <c r="G18" s="137">
        <v>83798774</v>
      </c>
      <c r="H18" s="110" t="s">
        <v>18</v>
      </c>
      <c r="I18" s="111">
        <f t="shared" ca="1" si="3"/>
        <v>14.34375161622293</v>
      </c>
      <c r="J18" s="112" t="s">
        <v>18</v>
      </c>
      <c r="K18" s="113">
        <f ca="1">(#REF!-E18)/E18*100</f>
        <v>49.77880509331262</v>
      </c>
    </row>
    <row r="19" spans="1:11" ht="25.5" thickBot="1" x14ac:dyDescent="0.25">
      <c r="A19" s="207" t="s">
        <v>24</v>
      </c>
      <c r="B19" s="208"/>
      <c r="C19" s="58"/>
      <c r="D19" s="134">
        <v>2</v>
      </c>
      <c r="E19" s="127">
        <v>8029645</v>
      </c>
      <c r="F19" s="129">
        <v>3000000</v>
      </c>
      <c r="G19" s="130">
        <v>4031621</v>
      </c>
      <c r="H19" s="131" t="s">
        <v>18</v>
      </c>
      <c r="I19" s="132">
        <f t="shared" ca="1" si="3"/>
        <v>99.166662739379518</v>
      </c>
      <c r="J19" s="135" t="s">
        <v>18</v>
      </c>
      <c r="K19" s="133">
        <f ca="1">(#REF!-E19)/E19*100</f>
        <v>71.731851159048759</v>
      </c>
    </row>
    <row r="20" spans="1:11" ht="25.5" thickBot="1" x14ac:dyDescent="0.25">
      <c r="A20" s="235" t="s">
        <v>90</v>
      </c>
      <c r="B20" s="236"/>
      <c r="C20" s="56"/>
      <c r="D20" s="99"/>
      <c r="E20" s="100">
        <f t="shared" ref="E20:G20" ca="1" si="4">SUM(E21:E29)</f>
        <v>76491502</v>
      </c>
      <c r="F20" s="101">
        <f t="shared" ca="1" si="4"/>
        <v>31507000</v>
      </c>
      <c r="G20" s="100">
        <f t="shared" ca="1" si="4"/>
        <v>25817598</v>
      </c>
      <c r="H20" s="102" t="s">
        <v>18</v>
      </c>
      <c r="I20" s="103">
        <f t="shared" ca="1" si="3"/>
        <v>196.27660171949381</v>
      </c>
      <c r="J20" s="104" t="s">
        <v>18</v>
      </c>
      <c r="K20" s="105">
        <f ca="1">(#REF!-E20)/E20*100</f>
        <v>138.54857105564486</v>
      </c>
    </row>
    <row r="21" spans="1:11" ht="24.75" x14ac:dyDescent="0.2">
      <c r="A21" s="241" t="s">
        <v>26</v>
      </c>
      <c r="B21" s="242"/>
      <c r="C21" s="59"/>
      <c r="D21" s="107">
        <v>3</v>
      </c>
      <c r="E21" s="109">
        <v>511277</v>
      </c>
      <c r="F21" s="136">
        <v>2000000</v>
      </c>
      <c r="G21" s="137">
        <f ca="1">891032-452647</f>
        <v>438385</v>
      </c>
      <c r="H21" s="110" t="s">
        <v>18</v>
      </c>
      <c r="I21" s="111">
        <f t="shared" ca="1" si="3"/>
        <v>16.627393729256248</v>
      </c>
      <c r="J21" s="112" t="s">
        <v>18</v>
      </c>
      <c r="K21" s="113">
        <f ca="1">(#REF!-E21)/E21*100</f>
        <v>17.74439296115413</v>
      </c>
    </row>
    <row r="22" spans="1:11" ht="24.75" x14ac:dyDescent="0.2">
      <c r="A22" s="239" t="s">
        <v>27</v>
      </c>
      <c r="B22" s="240"/>
      <c r="C22" s="60"/>
      <c r="D22" s="123">
        <v>7</v>
      </c>
      <c r="E22" s="117">
        <v>420000</v>
      </c>
      <c r="F22" s="126">
        <v>350000</v>
      </c>
      <c r="G22" s="122">
        <v>771123</v>
      </c>
      <c r="H22" s="118" t="s">
        <v>18</v>
      </c>
      <c r="I22" s="119">
        <f t="shared" ca="1" si="3"/>
        <v>-45.533980960235915</v>
      </c>
      <c r="J22" s="120" t="s">
        <v>18</v>
      </c>
      <c r="K22" s="121">
        <f ca="1">(#REF!-E22)/E22*100</f>
        <v>7.1428571428571423</v>
      </c>
    </row>
    <row r="23" spans="1:11" ht="24.75" x14ac:dyDescent="0.2">
      <c r="A23" s="239" t="s">
        <v>28</v>
      </c>
      <c r="B23" s="240"/>
      <c r="C23" s="60"/>
      <c r="D23" s="123">
        <v>4</v>
      </c>
      <c r="E23" s="116">
        <f ca="1">'[2]یادداشت4-صورت درآمدوهزینه'!L22</f>
        <v>16181034</v>
      </c>
      <c r="F23" s="116">
        <f ca="1">'[2]یادداشت4-صورت درآمدوهزینه'!N22</f>
        <v>19139422</v>
      </c>
      <c r="G23" s="116">
        <f ca="1">'[2]یادداشت4-صورت درآمدوهزینه'!P22</f>
        <v>5972362</v>
      </c>
      <c r="H23" s="118" t="s">
        <v>18</v>
      </c>
      <c r="I23" s="119">
        <f t="shared" ca="1" si="3"/>
        <v>170.93190265425974</v>
      </c>
      <c r="J23" s="120" t="s">
        <v>18</v>
      </c>
      <c r="K23" s="121">
        <f ca="1">(#REF!-E23)/E23*100</f>
        <v>38.232958412917242</v>
      </c>
    </row>
    <row r="24" spans="1:11" ht="24.75" x14ac:dyDescent="0.2">
      <c r="A24" s="124" t="s">
        <v>91</v>
      </c>
      <c r="B24" s="63"/>
      <c r="C24" s="61"/>
      <c r="D24" s="138" t="s">
        <v>65</v>
      </c>
      <c r="E24" s="128">
        <v>0</v>
      </c>
      <c r="F24" s="128">
        <v>0</v>
      </c>
      <c r="G24" s="128">
        <v>0</v>
      </c>
      <c r="H24" s="131"/>
      <c r="I24" s="132"/>
      <c r="J24" s="120" t="s">
        <v>18</v>
      </c>
      <c r="K24" s="121">
        <v>0</v>
      </c>
    </row>
    <row r="25" spans="1:11" ht="24.75" x14ac:dyDescent="0.2">
      <c r="A25" s="124" t="s">
        <v>92</v>
      </c>
      <c r="B25" s="63"/>
      <c r="C25" s="61"/>
      <c r="D25" s="134">
        <v>4</v>
      </c>
      <c r="E25" s="128">
        <f ca="1">'[2]یادداشت4-صورت درآمدوهزینه'!L24+'[2]یادداشت4-صورت درآمدوهزینه'!L29</f>
        <v>52189746</v>
      </c>
      <c r="F25" s="128">
        <f ca="1">'[2]یادداشت4-صورت درآمدوهزینه'!N24+'[2]یادداشت4-صورت درآمدوهزینه'!N29</f>
        <v>2257578</v>
      </c>
      <c r="G25" s="128">
        <f ca="1">'[2]یادداشت4-صورت درآمدوهزینه'!P24+'[2]یادداشت4-صورت درآمدوهزینه'!P29</f>
        <v>12732696</v>
      </c>
      <c r="H25" s="131"/>
      <c r="I25" s="132">
        <f t="shared" ca="1" si="3"/>
        <v>309.88763102488275</v>
      </c>
      <c r="J25" s="120" t="s">
        <v>18</v>
      </c>
      <c r="K25" s="133">
        <f ca="1">(#REF!-E25)/E25*100</f>
        <v>-64.838196376736533</v>
      </c>
    </row>
    <row r="26" spans="1:11" ht="24.75" x14ac:dyDescent="0.2">
      <c r="A26" s="243" t="s">
        <v>93</v>
      </c>
      <c r="B26" s="139" t="s">
        <v>94</v>
      </c>
      <c r="C26" s="140">
        <f ca="1">25404164-2856435</f>
        <v>22547729</v>
      </c>
      <c r="D26" s="141">
        <v>4</v>
      </c>
      <c r="E26" s="127"/>
      <c r="F26" s="129"/>
      <c r="G26" s="130"/>
      <c r="H26" s="131"/>
      <c r="I26" s="132"/>
      <c r="J26" s="135"/>
      <c r="K26" s="133"/>
    </row>
    <row r="27" spans="1:11" ht="26.25" x14ac:dyDescent="0.2">
      <c r="A27" s="244"/>
      <c r="B27" s="142" t="s">
        <v>95</v>
      </c>
      <c r="C27" s="143">
        <f ca="1">120000000-C26-C28</f>
        <v>85302271</v>
      </c>
      <c r="D27" s="144"/>
      <c r="E27" s="146">
        <v>0</v>
      </c>
      <c r="F27" s="147">
        <v>0</v>
      </c>
      <c r="G27" s="148">
        <v>0</v>
      </c>
      <c r="H27" s="149"/>
      <c r="I27" s="150"/>
      <c r="J27" s="151" t="s">
        <v>18</v>
      </c>
      <c r="K27" s="152">
        <v>100</v>
      </c>
    </row>
    <row r="28" spans="1:11" ht="26.25" x14ac:dyDescent="0.2">
      <c r="A28" s="245"/>
      <c r="B28" s="153" t="s">
        <v>96</v>
      </c>
      <c r="C28" s="154">
        <v>12150000</v>
      </c>
      <c r="D28" s="155"/>
      <c r="E28" s="109"/>
      <c r="F28" s="136"/>
      <c r="G28" s="137"/>
      <c r="H28" s="110"/>
      <c r="I28" s="111"/>
      <c r="J28" s="112"/>
      <c r="K28" s="113"/>
    </row>
    <row r="29" spans="1:11" ht="25.5" thickBot="1" x14ac:dyDescent="0.25">
      <c r="A29" s="207" t="s">
        <v>29</v>
      </c>
      <c r="B29" s="208"/>
      <c r="C29" s="61"/>
      <c r="D29" s="134">
        <v>5</v>
      </c>
      <c r="E29" s="127">
        <v>7189445</v>
      </c>
      <c r="F29" s="128">
        <v>7760000</v>
      </c>
      <c r="G29" s="127">
        <v>5903032</v>
      </c>
      <c r="H29" s="131" t="s">
        <v>18</v>
      </c>
      <c r="I29" s="132">
        <f t="shared" ca="1" si="3"/>
        <v>21.792411086370532</v>
      </c>
      <c r="J29" s="135" t="s">
        <v>18</v>
      </c>
      <c r="K29" s="133">
        <f ca="1">(#REF!-E29)/E29*100</f>
        <v>0.14681244518874545</v>
      </c>
    </row>
    <row r="30" spans="1:11" ht="25.5" thickBot="1" x14ac:dyDescent="0.25">
      <c r="A30" s="246" t="s">
        <v>30</v>
      </c>
      <c r="B30" s="247"/>
      <c r="C30" s="62"/>
      <c r="D30" s="156"/>
      <c r="E30" s="157">
        <f t="shared" ref="E30:G30" ca="1" si="5">E4+E17+E20</f>
        <v>561888162</v>
      </c>
      <c r="F30" s="158">
        <f t="shared" ca="1" si="5"/>
        <v>523567000</v>
      </c>
      <c r="G30" s="157">
        <f t="shared" ca="1" si="5"/>
        <v>412385292.72808051</v>
      </c>
      <c r="H30" s="159" t="s">
        <v>18</v>
      </c>
      <c r="I30" s="160">
        <f t="shared" ca="1" si="3"/>
        <v>36.25320104965504</v>
      </c>
      <c r="J30" s="161" t="s">
        <v>18</v>
      </c>
      <c r="K30" s="162">
        <f ca="1">(#REF!-E30)/E30*100</f>
        <v>54.031700351074484</v>
      </c>
    </row>
    <row r="31" spans="1:11" ht="33.75" thickBot="1" x14ac:dyDescent="0.25">
      <c r="A31" s="248" t="s">
        <v>31</v>
      </c>
      <c r="B31" s="249"/>
      <c r="C31" s="163"/>
      <c r="D31" s="164"/>
      <c r="E31" s="146"/>
      <c r="F31" s="145"/>
      <c r="G31" s="146"/>
      <c r="H31" s="149"/>
      <c r="I31" s="150"/>
      <c r="J31" s="151"/>
      <c r="K31" s="152"/>
    </row>
    <row r="32" spans="1:11" ht="25.5" thickBot="1" x14ac:dyDescent="0.25">
      <c r="A32" s="98" t="s">
        <v>32</v>
      </c>
      <c r="B32" s="50"/>
      <c r="C32" s="50"/>
      <c r="D32" s="99"/>
      <c r="E32" s="100">
        <f t="shared" ref="E32:G32" ca="1" si="6">SUM(E33:E38)</f>
        <v>545004569</v>
      </c>
      <c r="F32" s="101">
        <f t="shared" ca="1" si="6"/>
        <v>503960000</v>
      </c>
      <c r="G32" s="100">
        <f t="shared" ca="1" si="6"/>
        <v>397737929</v>
      </c>
      <c r="H32" s="102" t="s">
        <v>18</v>
      </c>
      <c r="I32" s="165">
        <f t="shared" ref="I32:I40" ca="1" si="7">(E32-G32)/G32*100</f>
        <v>37.026048878531775</v>
      </c>
      <c r="J32" s="104" t="s">
        <v>18</v>
      </c>
      <c r="K32" s="105">
        <f ca="1">(#REF!-E32)/E32*100</f>
        <v>60.809453324050942</v>
      </c>
    </row>
    <row r="33" spans="1:11" ht="24.75" x14ac:dyDescent="0.2">
      <c r="A33" s="237" t="s">
        <v>33</v>
      </c>
      <c r="B33" s="238"/>
      <c r="C33" s="57"/>
      <c r="D33" s="166" t="s">
        <v>66</v>
      </c>
      <c r="E33" s="137">
        <v>418957079</v>
      </c>
      <c r="F33" s="136">
        <v>464500000</v>
      </c>
      <c r="G33" s="137">
        <f ca="1">345242362-G34-115220</f>
        <v>321807142</v>
      </c>
      <c r="H33" s="110" t="s">
        <v>18</v>
      </c>
      <c r="I33" s="111">
        <f t="shared" ca="1" si="7"/>
        <v>30.18886914573201</v>
      </c>
      <c r="J33" s="112" t="s">
        <v>18</v>
      </c>
      <c r="K33" s="113">
        <f ca="1">(#REF!-E33)/E33*100</f>
        <v>15.218673748677725</v>
      </c>
    </row>
    <row r="34" spans="1:11" ht="24.75" x14ac:dyDescent="0.2">
      <c r="A34" s="239" t="s">
        <v>97</v>
      </c>
      <c r="B34" s="240"/>
      <c r="C34" s="63"/>
      <c r="D34" s="115" t="s">
        <v>64</v>
      </c>
      <c r="E34" s="122">
        <v>53249633</v>
      </c>
      <c r="F34" s="126"/>
      <c r="G34" s="122">
        <f ca="1">'[2]یادداشت3و2-1-1-اعتبارات'!E13</f>
        <v>23320000</v>
      </c>
      <c r="H34" s="118" t="s">
        <v>18</v>
      </c>
      <c r="I34" s="119">
        <f t="shared" ca="1" si="7"/>
        <v>128.3431946826758</v>
      </c>
      <c r="J34" s="120" t="s">
        <v>18</v>
      </c>
      <c r="K34" s="121">
        <f ca="1">(#REF!-E34)/E34*100</f>
        <v>85.18827726005172</v>
      </c>
    </row>
    <row r="35" spans="1:11" ht="24.75" x14ac:dyDescent="0.2">
      <c r="A35" s="239" t="s">
        <v>98</v>
      </c>
      <c r="B35" s="240"/>
      <c r="C35" s="63"/>
      <c r="D35" s="115" t="s">
        <v>64</v>
      </c>
      <c r="E35" s="122">
        <v>32166399</v>
      </c>
      <c r="F35" s="126">
        <v>0</v>
      </c>
      <c r="G35" s="122">
        <v>21806808</v>
      </c>
      <c r="H35" s="118" t="s">
        <v>18</v>
      </c>
      <c r="I35" s="119">
        <f t="shared" ca="1" si="7"/>
        <v>47.506223744437975</v>
      </c>
      <c r="J35" s="120" t="s">
        <v>18</v>
      </c>
      <c r="K35" s="121">
        <f ca="1">(#REF!-E35)/E35*100</f>
        <v>102.07422036890111</v>
      </c>
    </row>
    <row r="36" spans="1:11" ht="24.75" x14ac:dyDescent="0.2">
      <c r="A36" s="239" t="s">
        <v>99</v>
      </c>
      <c r="B36" s="240"/>
      <c r="C36" s="63"/>
      <c r="D36" s="115" t="s">
        <v>63</v>
      </c>
      <c r="E36" s="122">
        <v>0</v>
      </c>
      <c r="F36" s="126">
        <v>0</v>
      </c>
      <c r="G36" s="122">
        <v>0</v>
      </c>
      <c r="H36" s="118"/>
      <c r="I36" s="119"/>
      <c r="J36" s="120" t="s">
        <v>18</v>
      </c>
      <c r="K36" s="121">
        <v>100</v>
      </c>
    </row>
    <row r="37" spans="1:11" ht="24.75" x14ac:dyDescent="0.2">
      <c r="A37" s="239" t="s">
        <v>35</v>
      </c>
      <c r="B37" s="240"/>
      <c r="C37" s="60"/>
      <c r="D37" s="123">
        <v>6</v>
      </c>
      <c r="E37" s="122">
        <v>40584000</v>
      </c>
      <c r="F37" s="126">
        <v>39380000</v>
      </c>
      <c r="G37" s="122">
        <f ca="1">14656104+2778949+13322159</f>
        <v>30757212</v>
      </c>
      <c r="H37" s="118" t="s">
        <v>18</v>
      </c>
      <c r="I37" s="119">
        <f t="shared" ca="1" si="7"/>
        <v>31.949540810135847</v>
      </c>
      <c r="J37" s="120" t="s">
        <v>18</v>
      </c>
      <c r="K37" s="121">
        <f ca="1">(#REF!-E37)/E37*100</f>
        <v>52.868125369603781</v>
      </c>
    </row>
    <row r="38" spans="1:11" ht="25.5" thickBot="1" x14ac:dyDescent="0.25">
      <c r="A38" s="250" t="s">
        <v>100</v>
      </c>
      <c r="B38" s="251"/>
      <c r="C38" s="58"/>
      <c r="D38" s="134">
        <v>7</v>
      </c>
      <c r="E38" s="130">
        <v>47458</v>
      </c>
      <c r="F38" s="129">
        <v>80000</v>
      </c>
      <c r="G38" s="130">
        <v>46767</v>
      </c>
      <c r="H38" s="131" t="s">
        <v>18</v>
      </c>
      <c r="I38" s="132">
        <f t="shared" ca="1" si="7"/>
        <v>1.477537579917463</v>
      </c>
      <c r="J38" s="135" t="s">
        <v>18</v>
      </c>
      <c r="K38" s="133">
        <f ca="1">(#REF!-E38)/E38*100</f>
        <v>5.3563150575245482</v>
      </c>
    </row>
    <row r="39" spans="1:11" ht="25.5" thickBot="1" x14ac:dyDescent="0.25">
      <c r="A39" s="98" t="s">
        <v>101</v>
      </c>
      <c r="B39" s="50"/>
      <c r="C39" s="50"/>
      <c r="D39" s="99">
        <v>5</v>
      </c>
      <c r="E39" s="100">
        <f t="shared" ref="E39:G39" ca="1" si="8">SUM(E40:E43)</f>
        <v>12033530</v>
      </c>
      <c r="F39" s="101">
        <f t="shared" ca="1" si="8"/>
        <v>14055000</v>
      </c>
      <c r="G39" s="100">
        <f t="shared" ca="1" si="8"/>
        <v>10799005</v>
      </c>
      <c r="H39" s="102" t="s">
        <v>18</v>
      </c>
      <c r="I39" s="103">
        <f t="shared" ca="1" si="7"/>
        <v>11.431840248245093</v>
      </c>
      <c r="J39" s="104" t="s">
        <v>18</v>
      </c>
      <c r="K39" s="105">
        <f ca="1">(#REF!-E39)/E39*100</f>
        <v>152.62745013308648</v>
      </c>
    </row>
    <row r="40" spans="1:11" ht="24.75" x14ac:dyDescent="0.2">
      <c r="A40" s="167" t="s">
        <v>102</v>
      </c>
      <c r="B40" s="168" t="s">
        <v>103</v>
      </c>
      <c r="C40" s="64"/>
      <c r="D40" s="169">
        <v>5</v>
      </c>
      <c r="E40" s="170">
        <f ca="1">11985918-E43</f>
        <v>4796473</v>
      </c>
      <c r="F40" s="171">
        <f ca="1">14000000-F29-F16</f>
        <v>6240000</v>
      </c>
      <c r="G40" s="170">
        <f ca="1">10747080-G29-G16</f>
        <v>4844048</v>
      </c>
      <c r="H40" s="172" t="s">
        <v>18</v>
      </c>
      <c r="I40" s="173">
        <f t="shared" ca="1" si="7"/>
        <v>-0.98213312502270833</v>
      </c>
      <c r="J40" s="174" t="s">
        <v>18</v>
      </c>
      <c r="K40" s="175">
        <f ca="1">(#REF!-E40)/E40*100</f>
        <v>154.3535635455469</v>
      </c>
    </row>
    <row r="41" spans="1:11" ht="24.75" x14ac:dyDescent="0.2">
      <c r="A41" s="176"/>
      <c r="B41" s="177" t="s">
        <v>104</v>
      </c>
      <c r="C41" s="65"/>
      <c r="D41" s="178"/>
      <c r="E41" s="109">
        <v>47612</v>
      </c>
      <c r="F41" s="136">
        <v>55000</v>
      </c>
      <c r="G41" s="137">
        <v>51925</v>
      </c>
      <c r="H41" s="179"/>
      <c r="I41" s="180"/>
      <c r="J41" s="174" t="s">
        <v>18</v>
      </c>
      <c r="K41" s="181">
        <v>0</v>
      </c>
    </row>
    <row r="42" spans="1:11" ht="24.75" x14ac:dyDescent="0.2">
      <c r="A42" s="182" t="s">
        <v>105</v>
      </c>
      <c r="B42" s="183"/>
      <c r="C42" s="66"/>
      <c r="D42" s="134">
        <v>5</v>
      </c>
      <c r="E42" s="127">
        <f ca="1">E16</f>
        <v>0</v>
      </c>
      <c r="F42" s="129">
        <f ca="1">F16</f>
        <v>0</v>
      </c>
      <c r="G42" s="130">
        <f ca="1">G16</f>
        <v>0</v>
      </c>
      <c r="H42" s="131" t="s">
        <v>18</v>
      </c>
      <c r="I42" s="184">
        <v>0</v>
      </c>
      <c r="J42" s="135" t="s">
        <v>18</v>
      </c>
      <c r="K42" s="185">
        <v>100</v>
      </c>
    </row>
    <row r="43" spans="1:11" ht="25.5" thickBot="1" x14ac:dyDescent="0.25">
      <c r="A43" s="186" t="s">
        <v>29</v>
      </c>
      <c r="B43" s="187"/>
      <c r="C43" s="64"/>
      <c r="D43" s="134">
        <v>5</v>
      </c>
      <c r="E43" s="130">
        <f ca="1">E29</f>
        <v>7189445</v>
      </c>
      <c r="F43" s="129">
        <f ca="1">F29</f>
        <v>7760000</v>
      </c>
      <c r="G43" s="130">
        <f ca="1">G29</f>
        <v>5903032</v>
      </c>
      <c r="H43" s="131" t="s">
        <v>18</v>
      </c>
      <c r="I43" s="184">
        <f t="shared" ref="I43:I58" ca="1" si="9">(E43-G43)/G43*100</f>
        <v>21.792411086370532</v>
      </c>
      <c r="J43" s="135" t="s">
        <v>18</v>
      </c>
      <c r="K43" s="185">
        <f ca="1">(#REF!-E43)/E43*100</f>
        <v>0.14681244518874545</v>
      </c>
    </row>
    <row r="44" spans="1:11" ht="25.5" thickBot="1" x14ac:dyDescent="0.25">
      <c r="A44" s="235" t="s">
        <v>106</v>
      </c>
      <c r="B44" s="236"/>
      <c r="C44" s="56"/>
      <c r="D44" s="99">
        <v>11</v>
      </c>
      <c r="E44" s="100">
        <f t="shared" ref="E44:G46" ca="1" si="10">E45</f>
        <v>0</v>
      </c>
      <c r="F44" s="101">
        <f t="shared" ca="1" si="10"/>
        <v>0</v>
      </c>
      <c r="G44" s="100">
        <f t="shared" ca="1" si="10"/>
        <v>0</v>
      </c>
      <c r="H44" s="102" t="s">
        <v>18</v>
      </c>
      <c r="I44" s="165">
        <v>0</v>
      </c>
      <c r="J44" s="104" t="s">
        <v>18</v>
      </c>
      <c r="K44" s="105">
        <v>100</v>
      </c>
    </row>
    <row r="45" spans="1:11" ht="25.5" thickBot="1" x14ac:dyDescent="0.25">
      <c r="A45" s="188" t="s">
        <v>107</v>
      </c>
      <c r="B45" s="189"/>
      <c r="C45" s="67"/>
      <c r="D45" s="190">
        <v>11</v>
      </c>
      <c r="E45" s="148">
        <v>0</v>
      </c>
      <c r="F45" s="147">
        <v>0</v>
      </c>
      <c r="G45" s="148">
        <v>0</v>
      </c>
      <c r="H45" s="149"/>
      <c r="I45" s="173"/>
      <c r="J45" s="151" t="s">
        <v>18</v>
      </c>
      <c r="K45" s="175">
        <v>100</v>
      </c>
    </row>
    <row r="46" spans="1:11" ht="25.5" thickBot="1" x14ac:dyDescent="0.25">
      <c r="A46" s="235" t="s">
        <v>108</v>
      </c>
      <c r="B46" s="236"/>
      <c r="C46" s="56"/>
      <c r="D46" s="99">
        <v>10</v>
      </c>
      <c r="E46" s="100">
        <f t="shared" ca="1" si="10"/>
        <v>883069</v>
      </c>
      <c r="F46" s="101">
        <f t="shared" ca="1" si="10"/>
        <v>645000</v>
      </c>
      <c r="G46" s="100">
        <f t="shared" ca="1" si="10"/>
        <v>811996</v>
      </c>
      <c r="H46" s="102" t="s">
        <v>18</v>
      </c>
      <c r="I46" s="165">
        <f ca="1">(E46-G46)/G46*100</f>
        <v>8.7528756299292123</v>
      </c>
      <c r="J46" s="104" t="s">
        <v>18</v>
      </c>
      <c r="K46" s="105">
        <f ca="1">(#REF!-E46)/E46*100</f>
        <v>-17.584809341059419</v>
      </c>
    </row>
    <row r="47" spans="1:11" ht="25.5" thickBot="1" x14ac:dyDescent="0.25">
      <c r="A47" s="252" t="s">
        <v>41</v>
      </c>
      <c r="B47" s="253"/>
      <c r="C47" s="68"/>
      <c r="D47" s="138" t="s">
        <v>67</v>
      </c>
      <c r="E47" s="129">
        <f ca="1">'[2]یادداشت10-هزینه بیمه ای'!J11</f>
        <v>883069</v>
      </c>
      <c r="F47" s="129">
        <f ca="1">'[2]یادداشت10-هزینه بیمه ای'!L11</f>
        <v>645000</v>
      </c>
      <c r="G47" s="129">
        <f ca="1">'[2]یادداشت10-هزینه بیمه ای'!N11</f>
        <v>811996</v>
      </c>
      <c r="H47" s="131" t="s">
        <v>18</v>
      </c>
      <c r="I47" s="132">
        <f ca="1">(E47-G47)/G47*100</f>
        <v>8.7528756299292123</v>
      </c>
      <c r="J47" s="135" t="s">
        <v>18</v>
      </c>
      <c r="K47" s="133">
        <f ca="1">(#REF!-E47)/E47*100</f>
        <v>-17.584809341059419</v>
      </c>
    </row>
    <row r="48" spans="1:11" ht="25.5" thickBot="1" x14ac:dyDescent="0.25">
      <c r="A48" s="235" t="s">
        <v>37</v>
      </c>
      <c r="B48" s="236"/>
      <c r="C48" s="56"/>
      <c r="D48" s="99">
        <v>8</v>
      </c>
      <c r="E48" s="100">
        <f t="shared" ref="E48:G48" ca="1" si="11">SUM(E49:E51)</f>
        <v>1404401</v>
      </c>
      <c r="F48" s="101">
        <f t="shared" ca="1" si="11"/>
        <v>1107000</v>
      </c>
      <c r="G48" s="100">
        <f t="shared" ca="1" si="11"/>
        <v>1248303</v>
      </c>
      <c r="H48" s="102" t="s">
        <v>18</v>
      </c>
      <c r="I48" s="165">
        <f t="shared" ca="1" si="9"/>
        <v>12.504816538933255</v>
      </c>
      <c r="J48" s="104" t="s">
        <v>18</v>
      </c>
      <c r="K48" s="105">
        <f ca="1">(#REF!-E48)/E48*100</f>
        <v>54.295603606092556</v>
      </c>
    </row>
    <row r="49" spans="1:11" ht="24.75" x14ac:dyDescent="0.2">
      <c r="A49" s="241" t="s">
        <v>38</v>
      </c>
      <c r="B49" s="242"/>
      <c r="C49" s="57"/>
      <c r="D49" s="166" t="s">
        <v>68</v>
      </c>
      <c r="E49" s="136">
        <f ca="1">'[2]یادداشت1-8-هزینه های پرسنلی'!K17</f>
        <v>934832</v>
      </c>
      <c r="F49" s="136">
        <f ca="1">'[2]یادداشت1-8-هزینه های پرسنلی'!M17</f>
        <v>755000</v>
      </c>
      <c r="G49" s="136">
        <f ca="1">'[2]یادداشت1-8-هزینه های پرسنلی'!O17</f>
        <v>817194</v>
      </c>
      <c r="H49" s="110" t="s">
        <v>18</v>
      </c>
      <c r="I49" s="111">
        <f t="shared" ca="1" si="9"/>
        <v>14.395357773062456</v>
      </c>
      <c r="J49" s="112" t="s">
        <v>18</v>
      </c>
      <c r="K49" s="113">
        <f ca="1">(#REF!-E49)/E49*100</f>
        <v>52.80649357317678</v>
      </c>
    </row>
    <row r="50" spans="1:11" ht="24.75" x14ac:dyDescent="0.2">
      <c r="A50" s="239" t="s">
        <v>39</v>
      </c>
      <c r="B50" s="240"/>
      <c r="C50" s="63"/>
      <c r="D50" s="115" t="s">
        <v>69</v>
      </c>
      <c r="E50" s="126">
        <f ca="1">'[2]یادداشت2-8-هزینه دارائی'!K8</f>
        <v>19809</v>
      </c>
      <c r="F50" s="126">
        <f ca="1">'[2]یادداشت2-8-هزینه دارائی'!M8</f>
        <v>19000</v>
      </c>
      <c r="G50" s="126">
        <f ca="1">'[2]یادداشت2-8-هزینه دارائی'!O8</f>
        <v>20415</v>
      </c>
      <c r="H50" s="118" t="s">
        <v>18</v>
      </c>
      <c r="I50" s="119">
        <f t="shared" ca="1" si="9"/>
        <v>-2.9684055841293167</v>
      </c>
      <c r="J50" s="120" t="s">
        <v>18</v>
      </c>
      <c r="K50" s="121">
        <f ca="1">(#REF!-E50)/E50*100</f>
        <v>48.725326871624006</v>
      </c>
    </row>
    <row r="51" spans="1:11" ht="25.5" thickBot="1" x14ac:dyDescent="0.25">
      <c r="A51" s="239" t="s">
        <v>40</v>
      </c>
      <c r="B51" s="240"/>
      <c r="C51" s="63"/>
      <c r="D51" s="115" t="s">
        <v>70</v>
      </c>
      <c r="E51" s="126">
        <f ca="1">'[2]یادداشت3-8-هزینه اداری'!J25</f>
        <v>449760</v>
      </c>
      <c r="F51" s="126">
        <f ca="1">'[2]یادداشت3-8-هزینه اداری'!L25</f>
        <v>333000</v>
      </c>
      <c r="G51" s="126">
        <f ca="1">'[2]یادداشت3-8-هزینه اداری'!N25</f>
        <v>410694</v>
      </c>
      <c r="H51" s="118" t="s">
        <v>18</v>
      </c>
      <c r="I51" s="119">
        <f t="shared" ca="1" si="9"/>
        <v>9.5121915586787242</v>
      </c>
      <c r="J51" s="120" t="s">
        <v>18</v>
      </c>
      <c r="K51" s="121">
        <f ca="1">(#REF!-E51)/E51*100</f>
        <v>57.636072572038422</v>
      </c>
    </row>
    <row r="52" spans="1:11" ht="25.5" thickBot="1" x14ac:dyDescent="0.25">
      <c r="A52" s="235" t="s">
        <v>109</v>
      </c>
      <c r="B52" s="236"/>
      <c r="C52" s="56"/>
      <c r="D52" s="99">
        <v>9</v>
      </c>
      <c r="E52" s="100">
        <f t="shared" ref="E52:G52" ca="1" si="12">SUM(E53:E56)</f>
        <v>1662593</v>
      </c>
      <c r="F52" s="101">
        <f t="shared" ca="1" si="12"/>
        <v>800000</v>
      </c>
      <c r="G52" s="100">
        <f t="shared" ca="1" si="12"/>
        <v>1017185</v>
      </c>
      <c r="H52" s="102" t="s">
        <v>18</v>
      </c>
      <c r="I52" s="103">
        <f t="shared" ca="1" si="9"/>
        <v>63.450404793621615</v>
      </c>
      <c r="J52" s="104" t="s">
        <v>18</v>
      </c>
      <c r="K52" s="105">
        <f ca="1">(#REF!-E52)/E52*100</f>
        <v>988.73386657949357</v>
      </c>
    </row>
    <row r="53" spans="1:11" ht="24.75" x14ac:dyDescent="0.2">
      <c r="A53" s="237" t="s">
        <v>43</v>
      </c>
      <c r="B53" s="238"/>
      <c r="C53" s="57"/>
      <c r="D53" s="166" t="s">
        <v>65</v>
      </c>
      <c r="E53" s="109">
        <f ca="1">'[2]یادداشت1-9-پرداخت سرمایه گذاری'!Q24</f>
        <v>1417392</v>
      </c>
      <c r="F53" s="108">
        <f ca="1">'[2]یادداشت1-9-پرداخت سرمایه گذاری'!S24</f>
        <v>500000</v>
      </c>
      <c r="G53" s="137">
        <f ca="1">'[2]یادداشت1-9-پرداخت سرمایه گذاری'!U24</f>
        <v>38688</v>
      </c>
      <c r="H53" s="110" t="s">
        <v>18</v>
      </c>
      <c r="I53" s="111">
        <f t="shared" ca="1" si="9"/>
        <v>3563.6476426799009</v>
      </c>
      <c r="J53" s="112" t="s">
        <v>18</v>
      </c>
      <c r="K53" s="113">
        <f ca="1">(#REF!-E53)/E53*100</f>
        <v>1099.3859144118212</v>
      </c>
    </row>
    <row r="54" spans="1:11" ht="24.75" x14ac:dyDescent="0.2">
      <c r="A54" s="239" t="s">
        <v>44</v>
      </c>
      <c r="B54" s="240"/>
      <c r="C54" s="63"/>
      <c r="D54" s="115" t="s">
        <v>71</v>
      </c>
      <c r="E54" s="116">
        <f ca="1">'[2]یادداشت2-9-زمین ساختمان تاسیس '!L16</f>
        <v>217476</v>
      </c>
      <c r="F54" s="116">
        <f ca="1">'[2]یادداشت2-9-زمین ساختمان تاسیس '!N16</f>
        <v>200000</v>
      </c>
      <c r="G54" s="116">
        <f ca="1">'[2]یادداشت2-9-زمین ساختمان تاسیس '!P16</f>
        <v>931036</v>
      </c>
      <c r="H54" s="118" t="s">
        <v>18</v>
      </c>
      <c r="I54" s="119">
        <f t="shared" ca="1" si="9"/>
        <v>-76.641504732362648</v>
      </c>
      <c r="J54" s="120" t="s">
        <v>18</v>
      </c>
      <c r="K54" s="121">
        <f ca="1">(#REF!-E54)/E54*100</f>
        <v>130.40381467380308</v>
      </c>
    </row>
    <row r="55" spans="1:11" ht="24.75" x14ac:dyDescent="0.2">
      <c r="A55" s="239" t="s">
        <v>45</v>
      </c>
      <c r="B55" s="240"/>
      <c r="C55" s="63"/>
      <c r="D55" s="115" t="s">
        <v>72</v>
      </c>
      <c r="E55" s="116">
        <f ca="1">'[2]یادداشت-3-9- اثاثیه اداری و '!K13</f>
        <v>16602</v>
      </c>
      <c r="F55" s="116">
        <f ca="1">'[2]یادداشت-3-9- اثاثیه اداری و '!M13</f>
        <v>50000</v>
      </c>
      <c r="G55" s="116">
        <f ca="1">'[2]یادداشت-3-9- اثاثیه اداری و '!O13</f>
        <v>22893</v>
      </c>
      <c r="H55" s="118" t="s">
        <v>18</v>
      </c>
      <c r="I55" s="119">
        <f t="shared" ca="1" si="9"/>
        <v>-27.480015725330887</v>
      </c>
      <c r="J55" s="120" t="s">
        <v>18</v>
      </c>
      <c r="K55" s="121">
        <f ca="1">(#REF!-E55)/E55*100</f>
        <v>475.89447054571741</v>
      </c>
    </row>
    <row r="56" spans="1:11" ht="25.5" thickBot="1" x14ac:dyDescent="0.25">
      <c r="A56" s="207" t="s">
        <v>46</v>
      </c>
      <c r="B56" s="208"/>
      <c r="C56" s="58"/>
      <c r="D56" s="138" t="s">
        <v>73</v>
      </c>
      <c r="E56" s="128">
        <f ca="1">'[2]یادداشت4-9-هزینه بیمه ای'!L9</f>
        <v>11123</v>
      </c>
      <c r="F56" s="128">
        <f ca="1">'[2]یادداشت4-9-هزینه بیمه ای'!N9</f>
        <v>50000</v>
      </c>
      <c r="G56" s="128">
        <f ca="1">'[2]یادداشت4-9-هزینه بیمه ای'!P9</f>
        <v>24568</v>
      </c>
      <c r="H56" s="131" t="s">
        <v>18</v>
      </c>
      <c r="I56" s="132">
        <f t="shared" ca="1" si="9"/>
        <v>-54.725659394334095</v>
      </c>
      <c r="J56" s="135" t="s">
        <v>18</v>
      </c>
      <c r="K56" s="133">
        <f ca="1">(#REF!-E56)/E56*100</f>
        <v>4435.9170581677599</v>
      </c>
    </row>
    <row r="57" spans="1:11" ht="25.5" thickBot="1" x14ac:dyDescent="0.25">
      <c r="A57" s="235" t="s">
        <v>50</v>
      </c>
      <c r="B57" s="236"/>
      <c r="C57" s="56"/>
      <c r="D57" s="99"/>
      <c r="E57" s="100">
        <f t="shared" ref="E57:G57" ca="1" si="13">SUM(E58:E60)</f>
        <v>900000</v>
      </c>
      <c r="F57" s="101">
        <f t="shared" ca="1" si="13"/>
        <v>3000000</v>
      </c>
      <c r="G57" s="100">
        <f t="shared" ca="1" si="13"/>
        <v>770875</v>
      </c>
      <c r="H57" s="102" t="s">
        <v>18</v>
      </c>
      <c r="I57" s="165">
        <f t="shared" ca="1" si="9"/>
        <v>16.750445921842065</v>
      </c>
      <c r="J57" s="191" t="s">
        <v>18</v>
      </c>
      <c r="K57" s="105">
        <f ca="1">(#REF!-E57)/E57*100</f>
        <v>5.5555555555555554</v>
      </c>
    </row>
    <row r="58" spans="1:11" ht="24.75" x14ac:dyDescent="0.2">
      <c r="A58" s="237" t="s">
        <v>51</v>
      </c>
      <c r="B58" s="238"/>
      <c r="C58" s="57"/>
      <c r="D58" s="107">
        <v>3</v>
      </c>
      <c r="E58" s="109">
        <v>400000</v>
      </c>
      <c r="F58" s="136">
        <v>2500000</v>
      </c>
      <c r="G58" s="137">
        <f ca="1">736008-368073</f>
        <v>367935</v>
      </c>
      <c r="H58" s="110" t="s">
        <v>18</v>
      </c>
      <c r="I58" s="111">
        <f t="shared" ca="1" si="9"/>
        <v>8.7148545259352872</v>
      </c>
      <c r="J58" s="192" t="s">
        <v>18</v>
      </c>
      <c r="K58" s="113">
        <f ca="1">(#REF!-E58)/E58*100</f>
        <v>12.5</v>
      </c>
    </row>
    <row r="59" spans="1:11" ht="24.75" x14ac:dyDescent="0.2">
      <c r="A59" s="239" t="s">
        <v>52</v>
      </c>
      <c r="B59" s="240"/>
      <c r="C59" s="63"/>
      <c r="D59" s="123"/>
      <c r="E59" s="117">
        <v>0</v>
      </c>
      <c r="F59" s="116">
        <v>0</v>
      </c>
      <c r="G59" s="117">
        <v>0</v>
      </c>
      <c r="H59" s="118" t="s">
        <v>18</v>
      </c>
      <c r="I59" s="119">
        <v>0</v>
      </c>
      <c r="J59" s="193" t="s">
        <v>18</v>
      </c>
      <c r="K59" s="121">
        <v>0</v>
      </c>
    </row>
    <row r="60" spans="1:11" ht="25.5" thickBot="1" x14ac:dyDescent="0.25">
      <c r="A60" s="207" t="s">
        <v>53</v>
      </c>
      <c r="B60" s="208"/>
      <c r="C60" s="58"/>
      <c r="D60" s="134"/>
      <c r="E60" s="194">
        <v>500000</v>
      </c>
      <c r="F60" s="128">
        <v>500000</v>
      </c>
      <c r="G60" s="127">
        <v>402940</v>
      </c>
      <c r="H60" s="131" t="s">
        <v>18</v>
      </c>
      <c r="I60" s="132">
        <f ca="1">(E60-G60)/G60*100</f>
        <v>24.087953541470196</v>
      </c>
      <c r="J60" s="195" t="s">
        <v>18</v>
      </c>
      <c r="K60" s="133">
        <f ca="1">(#REF!-E60)/E60*100</f>
        <v>0</v>
      </c>
    </row>
    <row r="61" spans="1:11" ht="25.5" thickBot="1" x14ac:dyDescent="0.25">
      <c r="A61" s="246" t="s">
        <v>54</v>
      </c>
      <c r="B61" s="247"/>
      <c r="C61" s="69"/>
      <c r="D61" s="156"/>
      <c r="E61" s="157">
        <f t="shared" ref="E61:G61" ca="1" si="14">E32+E39+E46+E48+E52+E57</f>
        <v>561888162</v>
      </c>
      <c r="F61" s="158">
        <f t="shared" ca="1" si="14"/>
        <v>523567000</v>
      </c>
      <c r="G61" s="157">
        <f t="shared" ca="1" si="14"/>
        <v>412385293</v>
      </c>
      <c r="H61" s="159" t="s">
        <v>18</v>
      </c>
      <c r="I61" s="196">
        <f ca="1">(E61-G61)/G61*100</f>
        <v>36.253200959812112</v>
      </c>
      <c r="J61" s="197" t="s">
        <v>18</v>
      </c>
      <c r="K61" s="162">
        <f ca="1">(#REF!-E61)/E61*100</f>
        <v>65.293532746536115</v>
      </c>
    </row>
    <row r="62" spans="1:11" ht="21.75" thickBot="1" x14ac:dyDescent="0.25">
      <c r="A62" s="254" t="s">
        <v>110</v>
      </c>
      <c r="B62" s="255"/>
      <c r="C62" s="255"/>
      <c r="D62" s="256"/>
      <c r="E62" s="70">
        <f t="shared" ref="E62:G62" ca="1" si="15">E30-E61</f>
        <v>0</v>
      </c>
      <c r="F62" s="70">
        <f t="shared" ca="1" si="15"/>
        <v>0</v>
      </c>
      <c r="G62" s="71">
        <f t="shared" ca="1" si="15"/>
        <v>-0.27191948890686035</v>
      </c>
      <c r="H62" s="72" t="s">
        <v>18</v>
      </c>
      <c r="I62" s="73">
        <f ca="1">(E62-G62)/G62*100</f>
        <v>-100</v>
      </c>
      <c r="J62" s="74" t="s">
        <v>18</v>
      </c>
      <c r="K62" s="75">
        <v>0</v>
      </c>
    </row>
    <row r="63" spans="1:11" ht="21.75" thickBot="1" x14ac:dyDescent="0.25">
      <c r="A63" s="76"/>
      <c r="B63" s="76"/>
      <c r="C63" s="76"/>
      <c r="D63" s="77"/>
      <c r="E63" s="78"/>
      <c r="F63" s="78"/>
      <c r="G63" s="78"/>
      <c r="H63" s="79"/>
      <c r="I63" s="80"/>
      <c r="J63" s="81"/>
      <c r="K63" s="81"/>
    </row>
    <row r="64" spans="1:11" ht="24.75" thickBot="1" x14ac:dyDescent="0.25">
      <c r="A64" s="198" t="s">
        <v>111</v>
      </c>
      <c r="B64" s="199"/>
      <c r="C64" s="82"/>
      <c r="D64" s="83"/>
      <c r="E64" s="84">
        <f t="shared" ref="E64:G64" ca="1" si="16">E61-E30</f>
        <v>0</v>
      </c>
      <c r="F64" s="84">
        <f t="shared" ca="1" si="16"/>
        <v>0</v>
      </c>
      <c r="G64" s="84">
        <f t="shared" ca="1" si="16"/>
        <v>0.27191948890686035</v>
      </c>
      <c r="H64" s="86" t="s">
        <v>18</v>
      </c>
      <c r="I64" s="87">
        <f ca="1">(E64-G64)/G64*100</f>
        <v>-100</v>
      </c>
      <c r="J64" s="88"/>
      <c r="K64" s="89">
        <v>0</v>
      </c>
    </row>
    <row r="65" spans="1:9" ht="24.75" thickBot="1" x14ac:dyDescent="0.25">
      <c r="A65" s="82"/>
      <c r="B65" s="83"/>
      <c r="C65" s="84">
        <f t="shared" ref="C65:E65" ca="1" si="17">C62-C31</f>
        <v>0</v>
      </c>
      <c r="D65" s="85"/>
      <c r="E65" s="84">
        <f t="shared" ca="1" si="17"/>
        <v>0.27191948890686035</v>
      </c>
      <c r="F65" s="86" t="s">
        <v>18</v>
      </c>
      <c r="G65" s="87">
        <f ca="1">(#REF!-E65)/E65*100</f>
        <v>-100</v>
      </c>
      <c r="H65" s="88" t="s">
        <v>18</v>
      </c>
      <c r="I65" s="89">
        <v>0</v>
      </c>
    </row>
    <row r="87" spans="5:5" x14ac:dyDescent="0.2">
      <c r="E87" s="93"/>
    </row>
    <row r="88" spans="5:5" x14ac:dyDescent="0.2">
      <c r="E88" s="93"/>
    </row>
    <row r="89" spans="5:5" x14ac:dyDescent="0.2">
      <c r="E89" s="93"/>
    </row>
    <row r="90" spans="5:5" x14ac:dyDescent="0.2">
      <c r="E90" s="93"/>
    </row>
    <row r="91" spans="5:5" x14ac:dyDescent="0.2">
      <c r="E91" s="93"/>
    </row>
    <row r="92" spans="5:5" x14ac:dyDescent="0.2">
      <c r="E92" s="93"/>
    </row>
  </sheetData>
  <mergeCells count="47">
    <mergeCell ref="A61:B61"/>
    <mergeCell ref="A62:D62"/>
    <mergeCell ref="A55:B55"/>
    <mergeCell ref="A56:B56"/>
    <mergeCell ref="A57:B57"/>
    <mergeCell ref="A58:B58"/>
    <mergeCell ref="A59:B59"/>
    <mergeCell ref="A60:B60"/>
    <mergeCell ref="A54:B54"/>
    <mergeCell ref="A37:B37"/>
    <mergeCell ref="A38:B38"/>
    <mergeCell ref="A44:B44"/>
    <mergeCell ref="A46:B46"/>
    <mergeCell ref="A47:B47"/>
    <mergeCell ref="A48:B48"/>
    <mergeCell ref="A49:B49"/>
    <mergeCell ref="A50:B50"/>
    <mergeCell ref="A51:B51"/>
    <mergeCell ref="A52:B52"/>
    <mergeCell ref="A53:B53"/>
    <mergeCell ref="A16:B16"/>
    <mergeCell ref="A17:B17"/>
    <mergeCell ref="A18:B18"/>
    <mergeCell ref="A36:B36"/>
    <mergeCell ref="A20:B20"/>
    <mergeCell ref="A21:B21"/>
    <mergeCell ref="A22:B22"/>
    <mergeCell ref="A23:B23"/>
    <mergeCell ref="A26:A28"/>
    <mergeCell ref="A29:B29"/>
    <mergeCell ref="A30:B30"/>
    <mergeCell ref="A31:B31"/>
    <mergeCell ref="A33:B33"/>
    <mergeCell ref="A34:B34"/>
    <mergeCell ref="A35:B35"/>
    <mergeCell ref="A19:B19"/>
    <mergeCell ref="F1:F2"/>
    <mergeCell ref="G1:G2"/>
    <mergeCell ref="H1:I2"/>
    <mergeCell ref="J1:K2"/>
    <mergeCell ref="A3:B3"/>
    <mergeCell ref="H3:I3"/>
    <mergeCell ref="J3:K3"/>
    <mergeCell ref="A1:B2"/>
    <mergeCell ref="D1:D2"/>
    <mergeCell ref="E1:E2"/>
    <mergeCell ref="A5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98</vt:lpstr>
      <vt:lpstr>99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2021-06-07T09:05:18Z</dcterms:modified>
</cp:coreProperties>
</file>