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98" sheetId="1" r:id="rId1"/>
    <sheet name="99" sheetId="2" r:id="rId2"/>
  </sheets>
  <externalReferences>
    <externalReference r:id="rId3"/>
    <externalReference r:id="rId4"/>
  </externalReferences>
  <calcPr calcId="122211" calcMode="manual" calcCompleted="0" calcOnSave="0"/>
</workbook>
</file>

<file path=xl/calcChain.xml><?xml version="1.0" encoding="utf-8"?>
<calcChain xmlns="http://schemas.openxmlformats.org/spreadsheetml/2006/main">
  <c r="H64" i="2" l="1"/>
  <c r="G64" i="2"/>
  <c r="E64" i="2"/>
  <c r="H62" i="2"/>
  <c r="G62" i="2"/>
  <c r="E62" i="2"/>
  <c r="H61" i="2"/>
  <c r="G61" i="2"/>
  <c r="E61" i="2"/>
  <c r="H60" i="2"/>
  <c r="H57" i="2"/>
  <c r="G57" i="2"/>
  <c r="E57" i="2"/>
  <c r="H56" i="2"/>
  <c r="G56" i="2"/>
  <c r="E56" i="2"/>
  <c r="H55" i="2"/>
  <c r="G55" i="2"/>
  <c r="E55" i="2"/>
  <c r="H54" i="2"/>
  <c r="G54" i="2"/>
  <c r="E54" i="2"/>
  <c r="H53" i="2"/>
  <c r="G53" i="2"/>
  <c r="E53" i="2"/>
  <c r="H52" i="2"/>
  <c r="G52" i="2"/>
  <c r="E52" i="2"/>
  <c r="H51" i="2"/>
  <c r="G51" i="2"/>
  <c r="E51" i="2"/>
  <c r="H50" i="2"/>
  <c r="G50" i="2"/>
  <c r="E50" i="2"/>
  <c r="H49" i="2"/>
  <c r="G49" i="2"/>
  <c r="E49" i="2"/>
  <c r="H48" i="2"/>
  <c r="G48" i="2"/>
  <c r="E48" i="2"/>
  <c r="H47" i="2"/>
  <c r="G47" i="2"/>
  <c r="E47" i="2"/>
  <c r="H46" i="2"/>
  <c r="G46" i="2"/>
  <c r="E46" i="2"/>
  <c r="H44" i="2"/>
  <c r="G44" i="2"/>
  <c r="E44" i="2"/>
  <c r="H43" i="2"/>
  <c r="H42" i="2"/>
  <c r="H39" i="2"/>
  <c r="G39" i="2"/>
  <c r="E39" i="2"/>
  <c r="H37" i="2"/>
  <c r="H32" i="2"/>
  <c r="G32" i="2"/>
  <c r="E32" i="2"/>
  <c r="H30" i="2"/>
  <c r="G30" i="2"/>
  <c r="E30" i="2"/>
  <c r="C27" i="2"/>
  <c r="C26" i="2"/>
  <c r="H25" i="2"/>
  <c r="G25" i="2"/>
  <c r="E25" i="2"/>
  <c r="E24" i="2"/>
  <c r="H23" i="2"/>
  <c r="G23" i="2"/>
  <c r="E23" i="2"/>
  <c r="H20" i="2"/>
  <c r="G20" i="2"/>
  <c r="E20" i="2"/>
  <c r="H18" i="2"/>
  <c r="H17" i="2"/>
  <c r="G17" i="2"/>
  <c r="E17" i="2"/>
  <c r="G10" i="2"/>
  <c r="G9" i="2"/>
  <c r="G8" i="2"/>
  <c r="H7" i="2"/>
  <c r="G7" i="2"/>
  <c r="G6" i="2"/>
  <c r="H5" i="2"/>
  <c r="H4" i="2"/>
  <c r="G4" i="2"/>
  <c r="E4" i="2"/>
  <c r="H91" i="2"/>
  <c r="H88" i="2"/>
  <c r="H87" i="2"/>
  <c r="G87" i="2"/>
  <c r="H65" i="2"/>
  <c r="G65" i="2"/>
  <c r="F65" i="2"/>
  <c r="E65" i="2"/>
  <c r="C65" i="2"/>
  <c r="J43" i="1"/>
  <c r="H43" i="1"/>
  <c r="G43" i="1"/>
  <c r="F43" i="1"/>
  <c r="D43" i="1"/>
  <c r="C43" i="1"/>
  <c r="B43" i="1"/>
  <c r="J42" i="1"/>
  <c r="G42" i="1"/>
  <c r="F42" i="1"/>
  <c r="C42" i="1"/>
  <c r="G41" i="1"/>
  <c r="C41" i="1"/>
  <c r="J40" i="1"/>
  <c r="G40" i="1"/>
  <c r="F40" i="1"/>
  <c r="C40" i="1"/>
  <c r="J39" i="1"/>
  <c r="G39" i="1"/>
  <c r="F39" i="1"/>
  <c r="C39" i="1"/>
  <c r="B39" i="1"/>
  <c r="J38" i="1"/>
  <c r="H38" i="1"/>
  <c r="G38" i="1"/>
  <c r="F38" i="1"/>
  <c r="D38" i="1"/>
  <c r="C38" i="1"/>
  <c r="G37" i="1"/>
  <c r="C37" i="1"/>
  <c r="J36" i="1"/>
  <c r="H36" i="1"/>
  <c r="G36" i="1"/>
  <c r="F36" i="1"/>
  <c r="D36" i="1"/>
  <c r="C36" i="1"/>
  <c r="B36" i="1"/>
  <c r="J35" i="1"/>
  <c r="H35" i="1"/>
  <c r="G35" i="1"/>
  <c r="F35" i="1"/>
  <c r="D35" i="1"/>
  <c r="C35" i="1"/>
  <c r="J34" i="1"/>
  <c r="G34" i="1"/>
  <c r="F34" i="1"/>
  <c r="C34" i="1"/>
  <c r="J33" i="1"/>
  <c r="H33" i="1"/>
  <c r="G33" i="1"/>
  <c r="F33" i="1"/>
  <c r="D33" i="1"/>
  <c r="C33" i="1"/>
  <c r="J32" i="1"/>
  <c r="G32" i="1"/>
  <c r="F32" i="1"/>
  <c r="C32" i="1"/>
  <c r="J31" i="1"/>
  <c r="H31" i="1"/>
  <c r="G31" i="1"/>
  <c r="F31" i="1"/>
  <c r="D31" i="1"/>
  <c r="C31" i="1"/>
  <c r="B31" i="1"/>
  <c r="J30" i="1"/>
  <c r="H30" i="1"/>
  <c r="G30" i="1"/>
  <c r="F30" i="1"/>
  <c r="D30" i="1"/>
  <c r="C30" i="1"/>
  <c r="B30" i="1"/>
  <c r="J29" i="1"/>
  <c r="H29" i="1"/>
  <c r="G29" i="1"/>
  <c r="F29" i="1"/>
  <c r="D29" i="1"/>
  <c r="C29" i="1"/>
  <c r="B29" i="1"/>
  <c r="J28" i="1"/>
  <c r="G28" i="1"/>
  <c r="F28" i="1"/>
  <c r="C28" i="1"/>
  <c r="B28" i="1"/>
  <c r="J27" i="1"/>
  <c r="H27" i="1"/>
  <c r="G27" i="1"/>
  <c r="F27" i="1"/>
  <c r="D27" i="1"/>
  <c r="C27" i="1"/>
  <c r="B27" i="1"/>
  <c r="J26" i="1"/>
  <c r="H26" i="1"/>
  <c r="G26" i="1"/>
  <c r="F26" i="1"/>
  <c r="D26" i="1"/>
  <c r="C26" i="1"/>
  <c r="B26" i="1"/>
  <c r="J25" i="1"/>
  <c r="G25" i="1"/>
  <c r="F25" i="1"/>
  <c r="C25" i="1"/>
  <c r="J24" i="1"/>
  <c r="H24" i="1"/>
  <c r="G24" i="1"/>
  <c r="F24" i="1"/>
  <c r="D24" i="1"/>
  <c r="C24" i="1"/>
  <c r="H23" i="1"/>
  <c r="G23" i="1"/>
  <c r="D23" i="1"/>
  <c r="C23" i="1"/>
  <c r="J22" i="1"/>
  <c r="H22" i="1"/>
  <c r="G22" i="1"/>
  <c r="F22" i="1"/>
  <c r="D22" i="1"/>
  <c r="C22" i="1"/>
  <c r="J21" i="1"/>
  <c r="H21" i="1"/>
  <c r="G21" i="1"/>
  <c r="F21" i="1"/>
  <c r="D21" i="1"/>
  <c r="C21" i="1"/>
  <c r="B21" i="1"/>
  <c r="J19" i="1"/>
  <c r="H19" i="1"/>
  <c r="G19" i="1"/>
  <c r="F19" i="1"/>
  <c r="D19" i="1"/>
  <c r="C19" i="1"/>
  <c r="B19" i="1"/>
  <c r="J18" i="1"/>
  <c r="G18" i="1"/>
  <c r="F18" i="1"/>
  <c r="C18" i="1"/>
  <c r="B18" i="1"/>
  <c r="J17" i="1"/>
  <c r="F17" i="1"/>
  <c r="B17" i="1"/>
  <c r="J16" i="1"/>
  <c r="G16" i="1"/>
  <c r="F16" i="1"/>
  <c r="C16" i="1"/>
  <c r="J15" i="1"/>
  <c r="G15" i="1"/>
  <c r="F15" i="1"/>
  <c r="C15" i="1"/>
  <c r="J14" i="1"/>
  <c r="G14" i="1"/>
  <c r="F14" i="1"/>
  <c r="C14" i="1"/>
  <c r="J13" i="1"/>
  <c r="F13" i="1"/>
  <c r="D13" i="1"/>
  <c r="J12" i="1"/>
  <c r="G12" i="1"/>
  <c r="F12" i="1"/>
  <c r="D12" i="1"/>
  <c r="C12" i="1"/>
  <c r="H11" i="1"/>
  <c r="G11" i="1"/>
  <c r="D11" i="1"/>
  <c r="C11" i="1"/>
  <c r="J10" i="1"/>
  <c r="H10" i="1"/>
  <c r="G10" i="1"/>
  <c r="F10" i="1"/>
  <c r="D10" i="1"/>
  <c r="C10" i="1"/>
  <c r="B10" i="1"/>
  <c r="J7" i="1"/>
  <c r="H7" i="1"/>
  <c r="G7" i="1"/>
  <c r="F7" i="1"/>
  <c r="D7" i="1"/>
  <c r="C7" i="1"/>
  <c r="B7" i="1"/>
</calcChain>
</file>

<file path=xl/sharedStrings.xml><?xml version="1.0" encoding="utf-8"?>
<sst xmlns="http://schemas.openxmlformats.org/spreadsheetml/2006/main" count="227" uniqueCount="112">
  <si>
    <t xml:space="preserve"> </t>
  </si>
  <si>
    <t xml:space="preserve">صندوق بازنشستگی کشوری </t>
  </si>
  <si>
    <t>منابع و مصارف وجوه</t>
  </si>
  <si>
    <t xml:space="preserve">سال 1398 </t>
  </si>
  <si>
    <t xml:space="preserve">ارقام به میلیون ریال </t>
  </si>
  <si>
    <t xml:space="preserve">شرح </t>
  </si>
  <si>
    <t xml:space="preserve"> بودجه </t>
  </si>
  <si>
    <t xml:space="preserve">بودجه   </t>
  </si>
  <si>
    <t xml:space="preserve">عملکرد </t>
  </si>
  <si>
    <t>نسبت عملکرد به بودجه  3ماهه اول</t>
  </si>
  <si>
    <t>نسبت عملکرد به بودجه 6ماهه اول</t>
  </si>
  <si>
    <t>یکساله</t>
  </si>
  <si>
    <t xml:space="preserve"> 3ماهه اول</t>
  </si>
  <si>
    <t>3ماهه اول</t>
  </si>
  <si>
    <t xml:space="preserve"> 6ماهه اول</t>
  </si>
  <si>
    <t>6ماهه اول</t>
  </si>
  <si>
    <t>منابع :</t>
  </si>
  <si>
    <t>اعتباردولتی-دریافت بابت کمک دولت</t>
  </si>
  <si>
    <t>%</t>
  </si>
  <si>
    <t xml:space="preserve">اعتباردولتی-ده درصد افزایش قانونی </t>
  </si>
  <si>
    <t>اعتباردولتی-کسری پرداخت حقوق - ماده 100 ق ا ک</t>
  </si>
  <si>
    <t xml:space="preserve">جمع کمک دولت </t>
  </si>
  <si>
    <t xml:space="preserve">اعتباردولتی-بابت همسان سازی </t>
  </si>
  <si>
    <t xml:space="preserve">کسور بازنشستگی </t>
  </si>
  <si>
    <t>مقرری ماه اول</t>
  </si>
  <si>
    <t xml:space="preserve">اعتباردولتی-دریافت بابت عائله مندی و اولاد و عیدی </t>
  </si>
  <si>
    <t xml:space="preserve">دریافت بابت بیمه عمر و حادثه </t>
  </si>
  <si>
    <t>انتقال کسور از سایر صندوقها</t>
  </si>
  <si>
    <t>درآمد حاصل از سرمایه گذاریها</t>
  </si>
  <si>
    <t>بیمه مکمل درمان سهم بازنشسته</t>
  </si>
  <si>
    <t xml:space="preserve">جمع منابع </t>
  </si>
  <si>
    <t>مصارف :</t>
  </si>
  <si>
    <t>تعهدات قانونی :</t>
  </si>
  <si>
    <t>هزینه حقوق بازنشستگان و موظفین</t>
  </si>
  <si>
    <t xml:space="preserve">بابت همسان سازی </t>
  </si>
  <si>
    <t>پرداخت بابت عائله مندی و اولاد و عیدی</t>
  </si>
  <si>
    <t>استرداد کسور - انتقال کسور و اشتباه واریزی</t>
  </si>
  <si>
    <t xml:space="preserve">هزینه اداره طرح : </t>
  </si>
  <si>
    <t xml:space="preserve">هزینه های پرسنلی </t>
  </si>
  <si>
    <t>هزینه تعمیر و نگهداری</t>
  </si>
  <si>
    <t xml:space="preserve">هزینه های عمومی و اداری </t>
  </si>
  <si>
    <t xml:space="preserve">سایر هزینه های رفاهی بازنشستگان و موظفین </t>
  </si>
  <si>
    <t xml:space="preserve">هزینه های سرمایه ای </t>
  </si>
  <si>
    <t xml:space="preserve">پرداخت بابت سرمایه گذاری </t>
  </si>
  <si>
    <t xml:space="preserve">زمین ، ساختمان و تاسیسات </t>
  </si>
  <si>
    <t xml:space="preserve">اثاثیه اداری و وسائط نقلیه </t>
  </si>
  <si>
    <t>خانه فرهنگ امید</t>
  </si>
  <si>
    <t xml:space="preserve">بیمه مکمل درمان </t>
  </si>
  <si>
    <t xml:space="preserve">بیمه مکمل درمان سهم دولت </t>
  </si>
  <si>
    <t>بیمه مکمل درمان سهم صندوق+سهم بازنشسته</t>
  </si>
  <si>
    <t>سایر:</t>
  </si>
  <si>
    <t xml:space="preserve">پرداخت غرامت فوت </t>
  </si>
  <si>
    <t xml:space="preserve">وجوه اداره شده </t>
  </si>
  <si>
    <t xml:space="preserve">پرداخت بدهیها </t>
  </si>
  <si>
    <t xml:space="preserve">جمع مصارف </t>
  </si>
  <si>
    <t>یادداشت 
توضیحی</t>
  </si>
  <si>
    <t>پیشنهاد اصلاح بودجه
سال 1399</t>
  </si>
  <si>
    <t>عملکرد 7ماهه 
سال 1399</t>
  </si>
  <si>
    <t>بودجه مصوب
سال 1399</t>
  </si>
  <si>
    <t>*</t>
  </si>
  <si>
    <t>1-1-1</t>
  </si>
  <si>
    <t>1-1-3</t>
  </si>
  <si>
    <t>1-1-2</t>
  </si>
  <si>
    <t>9-1</t>
  </si>
  <si>
    <t>1-1</t>
  </si>
  <si>
    <t>---</t>
  </si>
  <si>
    <t>10</t>
  </si>
  <si>
    <t>8-1</t>
  </si>
  <si>
    <t>8-2</t>
  </si>
  <si>
    <t>8-3</t>
  </si>
  <si>
    <t>9-2</t>
  </si>
  <si>
    <t>9-3</t>
  </si>
  <si>
    <t>9-4</t>
  </si>
  <si>
    <t xml:space="preserve">شــــرح </t>
  </si>
  <si>
    <t xml:space="preserve">جمع اعتبار دولتی دریافتی </t>
  </si>
  <si>
    <t>اعتباردولتی-دریافت شذه 
 بابت کمک دولت</t>
  </si>
  <si>
    <r>
      <t>دریافت بابت کمک دولت-</t>
    </r>
    <r>
      <rPr>
        <b/>
        <u/>
        <sz val="14"/>
        <color indexed="8"/>
        <rFont val="B Zar"/>
        <charset val="178"/>
      </rPr>
      <t>تعهد صندوق</t>
    </r>
  </si>
  <si>
    <t>*      434.671.000</t>
  </si>
  <si>
    <t>اجرای قانون مدیریت خدمات کشوری-تعهد دولت</t>
  </si>
  <si>
    <t>حقوق بازنشستگان قبل از سال 1354-تعهد دولت</t>
  </si>
  <si>
    <t xml:space="preserve">بابت همسان سازی سال 1396-تعهد دولت </t>
  </si>
  <si>
    <t>بابت همسان سازی سال 1397-تعهد دولت</t>
  </si>
  <si>
    <t>بابت همسان سازی سال 1398- تعهد دولت</t>
  </si>
  <si>
    <t>بابت همسان سازی سال 1399-تعهد دولت</t>
  </si>
  <si>
    <t>تا ده درصد افزایش قانونی درتامین پرداخت حقوق-تعهد دولت</t>
  </si>
  <si>
    <t>کسری پرداخت حقوق- ماده100ق ا ک-تعهددولت</t>
  </si>
  <si>
    <t xml:space="preserve">اعتباردولتی-دریافت بابت عائله مندی و اولاد وعیدی و... بازنشستگان و موظفین-تعهد دولت </t>
  </si>
  <si>
    <t>افزایش50% حق عائله واولاد بازنشستگان ازمحل تا ده درصد افزایش قانونی اعتبار-تعهد دولت</t>
  </si>
  <si>
    <t xml:space="preserve">اعتبار دولتی - بیمه مکمل درمان سهم دولت </t>
  </si>
  <si>
    <t xml:space="preserve">جمع کسور بازنشستگی  </t>
  </si>
  <si>
    <t xml:space="preserve">جمع سایر منابع مالی   </t>
  </si>
  <si>
    <t xml:space="preserve">درآمد حاصل از سرمایه گذاریها - مطالبات معوق سود سهام شرکتها منظور درافزایش سرمایه شرکتها </t>
  </si>
  <si>
    <t xml:space="preserve">وصول مطالبات معوق از شرکتها و سایر منابع </t>
  </si>
  <si>
    <t>واگذاری سهام - اجرای همسان سازی حقوق از مهرماه 1399</t>
  </si>
  <si>
    <t>ازمحل فروش سهام- به حساب سهام واگذاری به صندوق</t>
  </si>
  <si>
    <t>مابقی سهام واگذاری  بابت همسانسازی</t>
  </si>
  <si>
    <t>خط اعتباری</t>
  </si>
  <si>
    <t>همسان سازی حقوق بازنشستگی  سالهای قبل</t>
  </si>
  <si>
    <t xml:space="preserve">همسان سازی حقوق بازنشستگی- سال جاری </t>
  </si>
  <si>
    <t>همسان سازی حقوق بازنشستگی- سال جاری -اجرا از مهر ماه</t>
  </si>
  <si>
    <t>استرداد کسور- انتقال کسور-اشتباه واریزی</t>
  </si>
  <si>
    <t xml:space="preserve">هزینه بیمه مکمل درمان بازنشستگان و موظفین </t>
  </si>
  <si>
    <t>بیمه مکمل درمان سهم صندوق</t>
  </si>
  <si>
    <t xml:space="preserve">بیمه تکمیلی درمان </t>
  </si>
  <si>
    <t>کمک هزینه عصا ، عینک ، سمعک و...</t>
  </si>
  <si>
    <t>بیمه مکمل درمان سهم دولت</t>
  </si>
  <si>
    <t xml:space="preserve">هزینه های مالی </t>
  </si>
  <si>
    <t xml:space="preserve">هزینه مالی-اقساط (اصل و سود ) پرداختی بابت خط اعتباری دریافتی </t>
  </si>
  <si>
    <t xml:space="preserve">سایر هزینه رفاهی بازنشستگان و موظفین  : </t>
  </si>
  <si>
    <t xml:space="preserve">پرداختهای سرمایه ای </t>
  </si>
  <si>
    <t>اضافه/کسری منابع - تامین کسری از محل سپرده بانکی و...</t>
  </si>
  <si>
    <t>کسر ی تامین منا 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</si>
</sst>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b/>
      <sz val="14"/>
      <color theme="1"/>
      <name val="B Nazanin"/>
      <charset val="178"/>
    </font>
    <font>
      <sz val="11"/>
      <color theme="1"/>
      <name val="B Zar"/>
      <charset val="178"/>
    </font>
    <font>
      <b/>
      <sz val="16"/>
      <color theme="1"/>
      <name val="B Nazanin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9"/>
      <color theme="1"/>
      <name val="Arial"/>
      <family val="2"/>
      <charset val="178"/>
      <scheme val="minor"/>
    </font>
    <font>
      <sz val="12"/>
      <color rgb="FFFF0000"/>
      <name val="B Zar"/>
      <charset val="178"/>
    </font>
    <font>
      <sz val="12"/>
      <color theme="1"/>
      <name val="B Zar"/>
      <charset val="178"/>
    </font>
    <font>
      <sz val="12"/>
      <color theme="1"/>
      <name val="B Titr"/>
      <charset val="178"/>
    </font>
    <font>
      <b/>
      <sz val="20"/>
      <color rgb="FF00B050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2"/>
      <color rgb="FFFF0000"/>
      <name val="B Zar"/>
      <charset val="178"/>
    </font>
    <font>
      <b/>
      <sz val="12"/>
      <color theme="1"/>
      <name val="B Titr"/>
      <charset val="178"/>
    </font>
    <font>
      <b/>
      <u/>
      <sz val="14"/>
      <color indexed="8"/>
      <name val="B Zar"/>
      <charset val="178"/>
    </font>
    <font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ABFFBF"/>
        <bgColor rgb="FF9BFD59"/>
      </patternFill>
    </fill>
    <fill>
      <patternFill patternType="solid">
        <fgColor rgb="FFB4F0FE"/>
        <bgColor indexed="64"/>
      </patternFill>
    </fill>
    <fill>
      <patternFill patternType="solid">
        <fgColor rgb="FFABFFBF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right" vertical="center" indent="1"/>
    </xf>
    <xf numFmtId="3" fontId="10" fillId="0" borderId="14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10" fillId="0" borderId="13" xfId="0" applyFont="1" applyBorder="1" applyAlignment="1">
      <alignment horizontal="right" vertical="center" indent="1"/>
    </xf>
    <xf numFmtId="164" fontId="10" fillId="0" borderId="16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0" fontId="10" fillId="3" borderId="13" xfId="0" applyFont="1" applyFill="1" applyBorder="1" applyAlignment="1">
      <alignment horizontal="right" vertical="center" indent="1"/>
    </xf>
    <xf numFmtId="3" fontId="10" fillId="3" borderId="14" xfId="0" applyNumberFormat="1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vertical="center"/>
    </xf>
    <xf numFmtId="3" fontId="10" fillId="3" borderId="17" xfId="0" applyNumberFormat="1" applyFont="1" applyFill="1" applyBorder="1" applyAlignment="1">
      <alignment vertical="center"/>
    </xf>
    <xf numFmtId="164" fontId="10" fillId="3" borderId="18" xfId="0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horizontal="right" vertical="center"/>
    </xf>
    <xf numFmtId="164" fontId="10" fillId="0" borderId="18" xfId="0" applyNumberFormat="1" applyFont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 indent="1"/>
    </xf>
    <xf numFmtId="3" fontId="10" fillId="4" borderId="14" xfId="0" applyNumberFormat="1" applyFont="1" applyFill="1" applyBorder="1" applyAlignment="1">
      <alignment vertical="center"/>
    </xf>
    <xf numFmtId="3" fontId="10" fillId="4" borderId="15" xfId="0" applyNumberFormat="1" applyFont="1" applyFill="1" applyBorder="1" applyAlignment="1">
      <alignment vertical="center"/>
    </xf>
    <xf numFmtId="49" fontId="10" fillId="4" borderId="14" xfId="0" applyNumberFormat="1" applyFont="1" applyFill="1" applyBorder="1" applyAlignment="1">
      <alignment vertical="center"/>
    </xf>
    <xf numFmtId="164" fontId="10" fillId="4" borderId="16" xfId="0" applyNumberFormat="1" applyFont="1" applyFill="1" applyBorder="1" applyAlignment="1">
      <alignment vertical="center"/>
    </xf>
    <xf numFmtId="3" fontId="10" fillId="4" borderId="17" xfId="0" applyNumberFormat="1" applyFont="1" applyFill="1" applyBorder="1" applyAlignment="1">
      <alignment vertical="center"/>
    </xf>
    <xf numFmtId="164" fontId="10" fillId="4" borderId="18" xfId="0" applyNumberFormat="1" applyFont="1" applyFill="1" applyBorder="1" applyAlignment="1">
      <alignment vertical="center"/>
    </xf>
    <xf numFmtId="164" fontId="10" fillId="0" borderId="18" xfId="0" applyNumberFormat="1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49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1" fillId="2" borderId="20" xfId="0" applyFont="1" applyFill="1" applyBorder="1" applyAlignment="1">
      <alignment horizontal="right" vertical="center" inden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right" vertical="center" indent="1"/>
    </xf>
    <xf numFmtId="0" fontId="11" fillId="2" borderId="19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right" vertical="center" indent="1"/>
    </xf>
    <xf numFmtId="0" fontId="14" fillId="0" borderId="3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right" vertical="center" indent="1" shrinkToFit="1"/>
    </xf>
    <xf numFmtId="0" fontId="16" fillId="0" borderId="44" xfId="0" applyFont="1" applyBorder="1" applyAlignment="1">
      <alignment horizontal="right" vertical="center" indent="1"/>
    </xf>
    <xf numFmtId="0" fontId="14" fillId="3" borderId="27" xfId="0" applyFont="1" applyFill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16" fillId="0" borderId="5" xfId="0" applyFont="1" applyBorder="1" applyAlignment="1">
      <alignment horizontal="right" vertical="center" indent="1"/>
    </xf>
    <xf numFmtId="0" fontId="16" fillId="0" borderId="45" xfId="0" applyFont="1" applyBorder="1" applyAlignment="1">
      <alignment horizontal="right" vertical="center" indent="1"/>
    </xf>
    <xf numFmtId="0" fontId="16" fillId="0" borderId="40" xfId="0" applyFont="1" applyBorder="1" applyAlignment="1">
      <alignment horizontal="right" vertical="center" indent="1"/>
    </xf>
    <xf numFmtId="0" fontId="16" fillId="0" borderId="43" xfId="0" applyFont="1" applyBorder="1" applyAlignment="1">
      <alignment horizontal="right" vertical="center" indent="1"/>
    </xf>
    <xf numFmtId="0" fontId="14" fillId="4" borderId="30" xfId="0" applyFont="1" applyFill="1" applyBorder="1" applyAlignment="1">
      <alignment horizontal="right" vertical="center" indent="1"/>
    </xf>
    <xf numFmtId="0" fontId="16" fillId="0" borderId="17" xfId="0" applyFont="1" applyBorder="1" applyAlignment="1">
      <alignment horizontal="right" vertical="center" indent="1"/>
    </xf>
    <xf numFmtId="0" fontId="16" fillId="0" borderId="38" xfId="0" applyFont="1" applyBorder="1" applyAlignment="1">
      <alignment horizontal="right" vertical="center" indent="1" shrinkToFit="1"/>
    </xf>
    <xf numFmtId="0" fontId="16" fillId="0" borderId="35" xfId="0" applyFont="1" applyBorder="1" applyAlignment="1">
      <alignment horizontal="right" vertical="center" indent="1" shrinkToFit="1"/>
    </xf>
    <xf numFmtId="0" fontId="16" fillId="0" borderId="40" xfId="0" applyFont="1" applyBorder="1" applyAlignment="1">
      <alignment horizontal="right" vertical="center" indent="1" shrinkToFit="1"/>
    </xf>
    <xf numFmtId="0" fontId="16" fillId="0" borderId="0" xfId="0" applyFont="1" applyBorder="1" applyAlignment="1">
      <alignment horizontal="right" vertical="center" indent="1"/>
    </xf>
    <xf numFmtId="0" fontId="16" fillId="0" borderId="5" xfId="0" applyFont="1" applyBorder="1" applyAlignment="1">
      <alignment horizontal="right" vertical="center" indent="1" shrinkToFit="1"/>
    </xf>
    <xf numFmtId="0" fontId="14" fillId="4" borderId="27" xfId="0" applyFont="1" applyFill="1" applyBorder="1" applyAlignment="1">
      <alignment horizontal="right" vertical="center" indent="1"/>
    </xf>
    <xf numFmtId="3" fontId="10" fillId="0" borderId="4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indent="1" shrinkToFit="1"/>
    </xf>
    <xf numFmtId="0" fontId="0" fillId="0" borderId="20" xfId="0" applyBorder="1" applyAlignment="1">
      <alignment horizontal="right" vertical="center" indent="1" shrinkToFit="1"/>
    </xf>
    <xf numFmtId="3" fontId="10" fillId="0" borderId="20" xfId="0" applyNumberFormat="1" applyFont="1" applyBorder="1" applyAlignment="1">
      <alignment horizontal="center" vertical="center"/>
    </xf>
    <xf numFmtId="0" fontId="17" fillId="0" borderId="30" xfId="0" applyFont="1" applyFill="1" applyBorder="1" applyAlignment="1">
      <alignment horizontal="right" vertical="center" indent="1"/>
    </xf>
    <xf numFmtId="0" fontId="18" fillId="0" borderId="28" xfId="0" applyFont="1" applyBorder="1" applyAlignment="1">
      <alignment horizontal="center" vertical="center"/>
    </xf>
    <xf numFmtId="3" fontId="18" fillId="0" borderId="29" xfId="0" applyNumberFormat="1" applyFont="1" applyBorder="1" applyAlignment="1">
      <alignment vertical="center"/>
    </xf>
    <xf numFmtId="3" fontId="18" fillId="0" borderId="27" xfId="0" applyNumberFormat="1" applyFont="1" applyBorder="1" applyAlignment="1">
      <alignment vertical="center"/>
    </xf>
    <xf numFmtId="3" fontId="18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shrinkToFit="1"/>
    </xf>
    <xf numFmtId="0" fontId="12" fillId="0" borderId="0" xfId="0" applyFont="1" applyBorder="1" applyAlignment="1">
      <alignment horizontal="right" vertical="center" indent="1"/>
    </xf>
    <xf numFmtId="0" fontId="13" fillId="0" borderId="21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0" fontId="14" fillId="3" borderId="29" xfId="0" applyFont="1" applyFill="1" applyBorder="1" applyAlignment="1">
      <alignment horizontal="right" vertical="center" indent="1"/>
    </xf>
    <xf numFmtId="0" fontId="16" fillId="3" borderId="28" xfId="0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right" vertical="center"/>
    </xf>
    <xf numFmtId="3" fontId="16" fillId="3" borderId="27" xfId="0" applyNumberFormat="1" applyFont="1" applyFill="1" applyBorder="1" applyAlignment="1">
      <alignment horizontal="right" vertical="center"/>
    </xf>
    <xf numFmtId="3" fontId="16" fillId="3" borderId="28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right" vertical="center" indent="1"/>
    </xf>
    <xf numFmtId="0" fontId="16" fillId="0" borderId="34" xfId="0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right" vertical="center"/>
    </xf>
    <xf numFmtId="3" fontId="16" fillId="0" borderId="34" xfId="0" applyNumberFormat="1" applyFont="1" applyBorder="1" applyAlignment="1">
      <alignment horizontal="right" vertical="center"/>
    </xf>
    <xf numFmtId="3" fontId="16" fillId="0" borderId="31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 indent="1"/>
    </xf>
    <xf numFmtId="49" fontId="16" fillId="0" borderId="39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right" vertical="center"/>
    </xf>
    <xf numFmtId="3" fontId="16" fillId="0" borderId="39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3" fontId="16" fillId="0" borderId="17" xfId="0" applyNumberFormat="1" applyFont="1" applyFill="1" applyBorder="1" applyAlignment="1">
      <alignment horizontal="right" vertical="center"/>
    </xf>
    <xf numFmtId="3" fontId="16" fillId="0" borderId="36" xfId="0" applyNumberFormat="1" applyFont="1" applyBorder="1" applyAlignment="1">
      <alignment horizontal="right" vertical="center"/>
    </xf>
    <xf numFmtId="0" fontId="16" fillId="0" borderId="39" xfId="0" applyFont="1" applyBorder="1" applyAlignment="1">
      <alignment horizontal="center" vertical="center"/>
    </xf>
    <xf numFmtId="0" fontId="16" fillId="0" borderId="36" xfId="0" applyFont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indent="1" shrinkToFit="1"/>
    </xf>
    <xf numFmtId="3" fontId="16" fillId="0" borderId="39" xfId="0" applyNumberFormat="1" applyFont="1" applyFill="1" applyBorder="1" applyAlignment="1">
      <alignment horizontal="right" vertical="center"/>
    </xf>
    <xf numFmtId="3" fontId="16" fillId="0" borderId="41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42" xfId="0" applyNumberFormat="1" applyFont="1" applyBorder="1" applyAlignment="1">
      <alignment horizontal="right" vertical="center"/>
    </xf>
    <xf numFmtId="3" fontId="16" fillId="0" borderId="42" xfId="0" applyNumberFormat="1" applyFont="1" applyFill="1" applyBorder="1" applyAlignment="1">
      <alignment horizontal="right" vertical="center"/>
    </xf>
    <xf numFmtId="3" fontId="16" fillId="0" borderId="5" xfId="0" applyNumberFormat="1" applyFont="1" applyFill="1" applyBorder="1" applyAlignment="1">
      <alignment horizontal="right" vertical="center"/>
    </xf>
    <xf numFmtId="0" fontId="16" fillId="0" borderId="42" xfId="0" applyFont="1" applyBorder="1" applyAlignment="1">
      <alignment horizontal="center" vertical="center"/>
    </xf>
    <xf numFmtId="3" fontId="16" fillId="0" borderId="32" xfId="0" applyNumberFormat="1" applyFont="1" applyBorder="1" applyAlignment="1">
      <alignment horizontal="right" vertical="center"/>
    </xf>
    <xf numFmtId="3" fontId="16" fillId="0" borderId="34" xfId="0" applyNumberFormat="1" applyFont="1" applyFill="1" applyBorder="1" applyAlignment="1">
      <alignment horizontal="right" vertical="center"/>
    </xf>
    <xf numFmtId="3" fontId="16" fillId="0" borderId="31" xfId="0" applyNumberFormat="1" applyFont="1" applyFill="1" applyBorder="1" applyAlignment="1">
      <alignment horizontal="right" vertical="center"/>
    </xf>
    <xf numFmtId="49" fontId="16" fillId="0" borderId="42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right" vertical="center" indent="1"/>
    </xf>
    <xf numFmtId="3" fontId="16" fillId="0" borderId="58" xfId="0" applyNumberFormat="1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16" fillId="0" borderId="59" xfId="0" applyFont="1" applyBorder="1" applyAlignment="1">
      <alignment horizontal="right" vertical="center" indent="1"/>
    </xf>
    <xf numFmtId="3" fontId="16" fillId="0" borderId="60" xfId="0" applyNumberFormat="1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6" fillId="0" borderId="46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46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16" fillId="0" borderId="61" xfId="0" applyFont="1" applyBorder="1" applyAlignment="1">
      <alignment horizontal="right" vertical="center" indent="1"/>
    </xf>
    <xf numFmtId="3" fontId="16" fillId="0" borderId="62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3" fontId="16" fillId="4" borderId="29" xfId="0" applyNumberFormat="1" applyFont="1" applyFill="1" applyBorder="1" applyAlignment="1">
      <alignment horizontal="right" vertical="center"/>
    </xf>
    <xf numFmtId="3" fontId="16" fillId="4" borderId="27" xfId="0" applyNumberFormat="1" applyFont="1" applyFill="1" applyBorder="1" applyAlignment="1">
      <alignment horizontal="right" vertical="center"/>
    </xf>
    <xf numFmtId="3" fontId="16" fillId="4" borderId="28" xfId="0" applyNumberFormat="1" applyFont="1" applyFill="1" applyBorder="1" applyAlignment="1">
      <alignment horizontal="right" vertical="center"/>
    </xf>
    <xf numFmtId="0" fontId="12" fillId="0" borderId="26" xfId="0" applyFont="1" applyBorder="1" applyAlignment="1">
      <alignment horizontal="right" vertical="center" indent="1"/>
    </xf>
    <xf numFmtId="0" fontId="13" fillId="0" borderId="46" xfId="0" applyFont="1" applyBorder="1" applyAlignment="1">
      <alignment horizontal="center" vertical="center"/>
    </xf>
    <xf numFmtId="3" fontId="16" fillId="0" borderId="47" xfId="0" applyNumberFormat="1" applyFont="1" applyBorder="1" applyAlignment="1">
      <alignment horizontal="right" vertical="center"/>
    </xf>
    <xf numFmtId="49" fontId="16" fillId="0" borderId="34" xfId="0" applyNumberFormat="1" applyFont="1" applyBorder="1" applyAlignment="1">
      <alignment horizontal="center" vertical="center"/>
    </xf>
    <xf numFmtId="3" fontId="16" fillId="0" borderId="32" xfId="0" applyNumberFormat="1" applyFont="1" applyFill="1" applyBorder="1" applyAlignment="1">
      <alignment horizontal="right" vertical="center"/>
    </xf>
    <xf numFmtId="3" fontId="16" fillId="0" borderId="36" xfId="0" applyNumberFormat="1" applyFont="1" applyFill="1" applyBorder="1" applyAlignment="1">
      <alignment horizontal="right" vertical="center"/>
    </xf>
    <xf numFmtId="3" fontId="16" fillId="0" borderId="41" xfId="0" applyNumberFormat="1" applyFont="1" applyFill="1" applyBorder="1" applyAlignment="1">
      <alignment horizontal="right" vertical="center"/>
    </xf>
    <xf numFmtId="0" fontId="16" fillId="0" borderId="49" xfId="0" applyFont="1" applyBorder="1" applyAlignment="1">
      <alignment horizontal="right" vertical="center" indent="1" shrinkToFit="1"/>
    </xf>
    <xf numFmtId="0" fontId="16" fillId="0" borderId="2" xfId="0" applyFont="1" applyBorder="1" applyAlignment="1">
      <alignment horizontal="right" vertical="center" indent="1" shrinkToFit="1"/>
    </xf>
    <xf numFmtId="0" fontId="16" fillId="5" borderId="46" xfId="0" applyFont="1" applyFill="1" applyBorder="1" applyAlignment="1">
      <alignment horizontal="center" vertical="center"/>
    </xf>
    <xf numFmtId="3" fontId="16" fillId="5" borderId="47" xfId="0" applyNumberFormat="1" applyFont="1" applyFill="1" applyBorder="1" applyAlignment="1">
      <alignment horizontal="right" vertical="center"/>
    </xf>
    <xf numFmtId="3" fontId="16" fillId="5" borderId="0" xfId="0" applyNumberFormat="1" applyFont="1" applyFill="1" applyBorder="1" applyAlignment="1">
      <alignment horizontal="right" vertical="center"/>
    </xf>
    <xf numFmtId="3" fontId="16" fillId="5" borderId="46" xfId="0" applyNumberFormat="1" applyFont="1" applyFill="1" applyBorder="1" applyAlignment="1">
      <alignment horizontal="right" vertical="center"/>
    </xf>
    <xf numFmtId="0" fontId="16" fillId="0" borderId="52" xfId="0" applyFont="1" applyBorder="1" applyAlignment="1">
      <alignment horizontal="right" vertical="center" indent="1" shrinkToFit="1"/>
    </xf>
    <xf numFmtId="0" fontId="16" fillId="0" borderId="10" xfId="0" applyFont="1" applyBorder="1" applyAlignment="1">
      <alignment horizontal="right" vertical="center" indent="1" shrinkToFit="1"/>
    </xf>
    <xf numFmtId="0" fontId="16" fillId="5" borderId="34" xfId="0" applyFont="1" applyFill="1" applyBorder="1" applyAlignment="1">
      <alignment horizontal="center" vertical="center"/>
    </xf>
    <xf numFmtId="3" fontId="16" fillId="5" borderId="32" xfId="0" quotePrefix="1" applyNumberFormat="1" applyFont="1" applyFill="1" applyBorder="1" applyAlignment="1">
      <alignment horizontal="right" vertical="center" indent="2"/>
    </xf>
    <xf numFmtId="3" fontId="16" fillId="5" borderId="31" xfId="0" quotePrefix="1" applyNumberFormat="1" applyFont="1" applyFill="1" applyBorder="1" applyAlignment="1">
      <alignment horizontal="right" vertical="center" indent="2"/>
    </xf>
    <xf numFmtId="3" fontId="16" fillId="5" borderId="34" xfId="0" quotePrefix="1" applyNumberFormat="1" applyFont="1" applyFill="1" applyBorder="1" applyAlignment="1">
      <alignment horizontal="right" vertical="center" indent="2"/>
    </xf>
    <xf numFmtId="0" fontId="16" fillId="0" borderId="36" xfId="0" applyFont="1" applyBorder="1" applyAlignment="1">
      <alignment horizontal="right" vertical="center" indent="1" shrinkToFit="1"/>
    </xf>
    <xf numFmtId="0" fontId="16" fillId="0" borderId="17" xfId="0" applyFont="1" applyBorder="1" applyAlignment="1">
      <alignment horizontal="right" vertical="center" indent="1" shrinkToFit="1"/>
    </xf>
    <xf numFmtId="0" fontId="16" fillId="0" borderId="47" xfId="0" applyFont="1" applyBorder="1" applyAlignment="1">
      <alignment horizontal="right" vertical="center" indent="1" shrinkToFit="1"/>
    </xf>
    <xf numFmtId="0" fontId="16" fillId="0" borderId="19" xfId="0" applyFont="1" applyBorder="1" applyAlignment="1">
      <alignment horizontal="right" vertical="center" indent="1" shrinkToFit="1"/>
    </xf>
    <xf numFmtId="0" fontId="16" fillId="0" borderId="47" xfId="0" applyFont="1" applyBorder="1" applyAlignment="1">
      <alignment horizontal="right" vertical="center" indent="1"/>
    </xf>
    <xf numFmtId="0" fontId="16" fillId="0" borderId="19" xfId="0" applyFont="1" applyBorder="1" applyAlignment="1">
      <alignment horizontal="right" vertical="center" indent="1"/>
    </xf>
    <xf numFmtId="0" fontId="16" fillId="0" borderId="46" xfId="0" applyFont="1" applyBorder="1" applyAlignment="1">
      <alignment horizontal="center" vertical="center"/>
    </xf>
    <xf numFmtId="3" fontId="16" fillId="0" borderId="47" xfId="0" applyNumberFormat="1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 indent="1"/>
    </xf>
    <xf numFmtId="0" fontId="17" fillId="0" borderId="27" xfId="0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0" borderId="53" xfId="0" applyFont="1" applyBorder="1" applyAlignment="1">
      <alignment horizontal="right" vertical="center" indent="1"/>
    </xf>
    <xf numFmtId="0" fontId="16" fillId="0" borderId="54" xfId="0" applyFont="1" applyBorder="1" applyAlignment="1">
      <alignment horizontal="right" vertical="center" inden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19" fillId="2" borderId="22" xfId="0" applyFont="1" applyFill="1" applyBorder="1" applyAlignment="1">
      <alignment horizontal="right" vertical="center" indent="1"/>
    </xf>
    <xf numFmtId="0" fontId="11" fillId="2" borderId="20" xfId="0" applyFont="1" applyFill="1" applyBorder="1" applyAlignment="1">
      <alignment horizontal="right" vertical="center" indent="1"/>
    </xf>
    <xf numFmtId="0" fontId="11" fillId="2" borderId="25" xfId="0" applyFont="1" applyFill="1" applyBorder="1" applyAlignment="1">
      <alignment horizontal="right" vertical="center" indent="1"/>
    </xf>
    <xf numFmtId="0" fontId="11" fillId="2" borderId="19" xfId="0" applyFont="1" applyFill="1" applyBorder="1" applyAlignment="1">
      <alignment horizontal="right" vertical="center" inden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right" vertical="center" wrapText="1" indent="1"/>
    </xf>
    <xf numFmtId="0" fontId="14" fillId="0" borderId="50" xfId="0" applyFont="1" applyBorder="1" applyAlignment="1">
      <alignment horizontal="right" vertical="center" indent="1"/>
    </xf>
    <xf numFmtId="0" fontId="14" fillId="0" borderId="52" xfId="0" applyFont="1" applyBorder="1" applyAlignment="1">
      <alignment horizontal="right" vertical="center" indent="1"/>
    </xf>
    <xf numFmtId="3" fontId="14" fillId="0" borderId="23" xfId="0" applyNumberFormat="1" applyFont="1" applyBorder="1" applyAlignment="1">
      <alignment horizontal="right" vertical="center" textRotation="90"/>
    </xf>
    <xf numFmtId="0" fontId="1" fillId="0" borderId="38" xfId="0" applyFont="1" applyBorder="1" applyAlignment="1">
      <alignment horizontal="right" vertical="center" textRotation="90"/>
    </xf>
    <xf numFmtId="0" fontId="1" fillId="0" borderId="51" xfId="0" applyFont="1" applyBorder="1" applyAlignment="1">
      <alignment horizontal="right" vertical="center" textRotation="90"/>
    </xf>
    <xf numFmtId="0" fontId="1" fillId="0" borderId="35" xfId="0" applyFont="1" applyBorder="1" applyAlignment="1">
      <alignment horizontal="right" vertical="center" textRotation="90"/>
    </xf>
    <xf numFmtId="0" fontId="14" fillId="3" borderId="29" xfId="0" applyFont="1" applyFill="1" applyBorder="1" applyAlignment="1">
      <alignment horizontal="right" vertical="center" indent="1"/>
    </xf>
    <xf numFmtId="0" fontId="14" fillId="3" borderId="27" xfId="0" applyFont="1" applyFill="1" applyBorder="1" applyAlignment="1">
      <alignment horizontal="right" vertical="center" indent="1"/>
    </xf>
    <xf numFmtId="0" fontId="16" fillId="0" borderId="32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16" fillId="0" borderId="36" xfId="0" applyFont="1" applyBorder="1" applyAlignment="1">
      <alignment horizontal="right" vertical="center" indent="1"/>
    </xf>
    <xf numFmtId="0" fontId="16" fillId="0" borderId="17" xfId="0" applyFont="1" applyBorder="1" applyAlignment="1">
      <alignment horizontal="right" vertical="center" indent="1"/>
    </xf>
    <xf numFmtId="0" fontId="16" fillId="0" borderId="55" xfId="0" applyFont="1" applyBorder="1" applyAlignment="1">
      <alignment horizontal="right" vertical="center" indent="1"/>
    </xf>
    <xf numFmtId="0" fontId="16" fillId="0" borderId="56" xfId="0" applyFont="1" applyBorder="1" applyAlignment="1">
      <alignment horizontal="right" vertical="center" indent="1"/>
    </xf>
    <xf numFmtId="0" fontId="16" fillId="0" borderId="42" xfId="0" applyFont="1" applyBorder="1" applyAlignment="1">
      <alignment horizontal="right" vertical="center" wrapText="1" indent="1"/>
    </xf>
    <xf numFmtId="0" fontId="0" fillId="0" borderId="46" xfId="0" applyBorder="1" applyAlignment="1">
      <alignment horizontal="right" vertical="center" wrapText="1" indent="1"/>
    </xf>
    <xf numFmtId="0" fontId="16" fillId="0" borderId="34" xfId="0" applyFont="1" applyBorder="1" applyAlignment="1">
      <alignment horizontal="right" vertical="center" wrapText="1" indent="1"/>
    </xf>
    <xf numFmtId="0" fontId="14" fillId="4" borderId="29" xfId="0" applyFont="1" applyFill="1" applyBorder="1" applyAlignment="1">
      <alignment horizontal="right" vertical="center" indent="1"/>
    </xf>
    <xf numFmtId="0" fontId="14" fillId="4" borderId="27" xfId="0" applyFont="1" applyFill="1" applyBorder="1" applyAlignment="1">
      <alignment horizontal="right" vertical="center" indent="1"/>
    </xf>
    <xf numFmtId="0" fontId="12" fillId="0" borderId="29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16" fillId="0" borderId="41" xfId="0" applyFont="1" applyBorder="1" applyAlignment="1">
      <alignment horizontal="right" vertical="center" indent="1"/>
    </xf>
    <xf numFmtId="0" fontId="16" fillId="0" borderId="5" xfId="0" applyFont="1" applyBorder="1" applyAlignment="1">
      <alignment horizontal="right" vertical="center" indent="1"/>
    </xf>
    <xf numFmtId="0" fontId="16" fillId="0" borderId="41" xfId="0" applyFont="1" applyBorder="1" applyAlignment="1">
      <alignment horizontal="right" vertical="center" indent="1" shrinkToFit="1"/>
    </xf>
    <xf numFmtId="0" fontId="16" fillId="0" borderId="5" xfId="0" applyFont="1" applyBorder="1" applyAlignment="1">
      <alignment horizontal="right" vertical="center" indent="1" shrinkToFit="1"/>
    </xf>
    <xf numFmtId="0" fontId="10" fillId="0" borderId="25" xfId="0" applyFont="1" applyFill="1" applyBorder="1" applyAlignment="1">
      <alignment horizontal="right" vertical="center" indent="1" shrinkToFit="1"/>
    </xf>
    <xf numFmtId="0" fontId="10" fillId="0" borderId="19" xfId="0" applyFont="1" applyFill="1" applyBorder="1" applyAlignment="1">
      <alignment horizontal="right" vertical="center" indent="1" shrinkToFit="1"/>
    </xf>
    <xf numFmtId="0" fontId="0" fillId="0" borderId="19" xfId="0" applyBorder="1" applyAlignment="1">
      <alignment horizontal="right" vertical="center" indent="1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limipc\SHARE\&#1578;&#1605;&#1575;&#1605;%20&#1575;&#1591;&#1604;&#1575;&#1593;&#1575;&#1578;%20&#1582;&#1575;&#1606;&#1605;%20&#1587;&#1604;&#1740;&#1605;&#1740;\&#1581;&#1587;&#1740;&#1606;&#1740;%20&#1606;&#1740;&#1575;\&#1576;&#1608;&#1583;&#1580;&#1607;%2098%20&#1589;&#1606;&#1583;&#1608;&#1602;\&#1606;&#1607;&#1575;&#1740;&#1740;-&#1576;&#1585;&#1606;&#1575;&#1605;&#1607;%20&#1608;%20&#1576;&#1608;&#1583;&#1580;&#1607;%20&#1587;&#1575;&#1604;%2098-9711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limipc\SHARE\&#1578;&#1605;&#1575;&#1605;%20&#1575;&#1591;&#1604;&#1575;&#1593;&#1575;&#1578;%20&#1582;&#1575;&#1606;&#1605;%20&#1587;&#1604;&#1740;&#1605;&#1740;\&#1581;&#1587;&#1740;&#1606;&#1740;%20&#1606;&#1740;&#1575;\&#1576;&#1608;&#1583;&#1580;&#1607;%2099\&#1576;&#1608;&#1583;&#1580;&#1607;1399-&#1575;&#1589;&#1604;&#1575;&#1581;&#1740;%20&#1602;&#1591;&#1593;&#1740;-991021\&#1576;&#1608;&#1583;&#1580;&#1607;%20&#1575;&#1589;&#1604;&#1575;&#1581;&#1740;99&#1575;&#1585;&#1587;&#1575;&#1604;&#1740;%20&#1576;&#1607;%20&#1607;&#1740;&#1574;&#1578;%20&#1605;&#1583;&#1740;&#1585;&#1607;%20%20&#1608;%20&#1607;%20&#1740;&#1574;&#1578;%20&#1575;&#1605;&#1606;&#1575;&#1569;-13991105\&#1576;&#1608;&#1583;&#1580;&#1607;%20&#1575;&#1589;&#1604;&#1575;&#1581;&#1740;99-991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نابع ومصارف+9ماهه"/>
      <sheetName val="منابع ومصارف-عملکرد98"/>
      <sheetName val="منابع و مصارف-عملکرد98-980808"/>
      <sheetName val="یادداشت1-اعتبارات"/>
      <sheetName val="توضیح یادداشت6-محاسبه حقوق "/>
      <sheetName val="یادداشت4-صورت درآمدوهزینه"/>
      <sheetName val="یادداشت1-4-سودسهام"/>
      <sheetName val="یادداشت1-1-4-افزایش سرمایه "/>
      <sheetName val="یادداشت9-هزینه های اداره طرح"/>
      <sheetName val="یادداشت-هزینه های پرسنلی 1-9"/>
      <sheetName val="یادداشت-هزینه دارائی2-9"/>
      <sheetName val="یادداشت-هزینه اداری3-9 "/>
      <sheetName val="یادداشت-هزینه بیمه ای4-9"/>
      <sheetName val="مقایسه بودجه "/>
      <sheetName val="تراز کل"/>
      <sheetName val="صورت تغییرات خالص داراییها"/>
      <sheetName val="یادداشت-13"/>
      <sheetName val="یادداشت1-13"/>
      <sheetName val="یادداشت2-13"/>
      <sheetName val="یادداشت-14"/>
      <sheetName val="یادداشت-1-14"/>
      <sheetName val="یادداشت2-14"/>
      <sheetName val="یادداشت-15"/>
      <sheetName val="یادداشت1-15"/>
      <sheetName val="یادداشت2-15"/>
      <sheetName val="یادداشت16-املاک"/>
      <sheetName val="یادداشت17-اوراق سپرده"/>
      <sheetName val="یادداشت-18-تسهیلات"/>
      <sheetName val="یادداشت-19-سپرده بانکی"/>
      <sheetName val="یادداشت1-19-لیست سپرده ها"/>
      <sheetName val="یادداشت-20-موجودی نقد"/>
      <sheetName val="یادداشت-21-بدهی دولت"/>
      <sheetName val="یادداشت-22-حق بیمه دریافتنی"/>
      <sheetName val="یادداشت-23-حسابهای دریافتنی"/>
      <sheetName val="یادداشت-24-پیش پرداختها"/>
      <sheetName val="یادداشت-25-دارایی مشهود"/>
      <sheetName val="یادداشت-26-دارایی نامشهود"/>
      <sheetName val="یادداشت-27-حسابهای پرداختن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D22"/>
        </row>
      </sheetData>
      <sheetData sheetId="10">
        <row r="11">
          <cell r="C11"/>
        </row>
      </sheetData>
      <sheetData sheetId="11">
        <row r="26">
          <cell r="C26"/>
        </row>
      </sheetData>
      <sheetData sheetId="12">
        <row r="13">
          <cell r="C13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نابع ومصارف-اصلی"/>
      <sheetName val="یادداشت1-اعتبارات"/>
      <sheetName val="توضیح یادداشت1-1-محاسبه حقوق "/>
      <sheetName val="یادداشت1-1-1-اعتبارت"/>
      <sheetName val="یادداشت3و2-1-1-اعتبارات"/>
      <sheetName val="یادداشت4-صورت درآمدوهزینه"/>
      <sheetName val="یادداشت1-4-سودسهام"/>
      <sheetName val="یادداشت8-هزینه های اداره طرح"/>
      <sheetName val="یادداشت1-8-هزینه های پرسنلی"/>
      <sheetName val="یادداشت2-8-هزینه دارائی"/>
      <sheetName val="یادداشت3-8-هزینه اداری"/>
      <sheetName val="یادداشت1-9-پرداخت سرمایه گذاری"/>
      <sheetName val="یادداشت2-9-زمین ساختمان تاسیس "/>
      <sheetName val="یادداشت-3-9- اثاثیه اداری و "/>
      <sheetName val="یادداشت4-9-هزینه بیمه ای"/>
      <sheetName val="یادداشت10-هزینه بیمه ای"/>
      <sheetName val="یادداشت11-هزینه های مالی"/>
      <sheetName val="تراز کل"/>
      <sheetName val="صورت تغییرات خالص داراییها"/>
      <sheetName val="یادداشت-12"/>
      <sheetName val="یادداشت1-12"/>
      <sheetName val="یادداشت2-12"/>
      <sheetName val="یادداشت-13"/>
      <sheetName val="یادداشت-1-13"/>
      <sheetName val="یادداشت2-13"/>
      <sheetName val="یادداشت-14"/>
      <sheetName val="یادداشت1-14"/>
      <sheetName val="یادداشت2-14"/>
      <sheetName val="یادداشت15-املاک"/>
      <sheetName val="یادداشت16-اوراق سپرده"/>
      <sheetName val="یادداشت-17-تسهیلات"/>
      <sheetName val="یادداشت-18-سپرده بانکی"/>
      <sheetName val="یادداشت1-18-لیست سپرده ها"/>
      <sheetName val="یادداشت-19-موجودی نقد"/>
      <sheetName val="یادداشت-20-بدهی دولت"/>
      <sheetName val="یادداشت-21-حق بیمه دریافتنی"/>
      <sheetName val="یادداشت-22-حسابهای دریافتنی"/>
      <sheetName val="یادداشت-23-پیش پرداختها"/>
      <sheetName val="یادداشت-24-دارایی مشهود"/>
      <sheetName val="یادداشت-25-دارایی نامشهود"/>
      <sheetName val="یادداشت-26-حسابهای پرداختنی"/>
    </sheetNames>
    <sheetDataSet>
      <sheetData sheetId="0"/>
      <sheetData sheetId="1"/>
      <sheetData sheetId="2"/>
      <sheetData sheetId="3">
        <row r="30">
          <cell r="H30">
            <v>60968665289948.961</v>
          </cell>
        </row>
      </sheetData>
      <sheetData sheetId="4"/>
      <sheetData sheetId="5">
        <row r="22">
          <cell r="F22">
            <v>2500000</v>
          </cell>
          <cell r="H22">
            <v>10367522</v>
          </cell>
          <cell r="J22">
            <v>5000000</v>
          </cell>
        </row>
        <row r="24">
          <cell r="F24">
            <v>22367522</v>
          </cell>
          <cell r="H24">
            <v>10367522</v>
          </cell>
          <cell r="J24">
            <v>37000000</v>
          </cell>
        </row>
        <row r="29">
          <cell r="J29">
            <v>0</v>
          </cell>
        </row>
      </sheetData>
      <sheetData sheetId="6"/>
      <sheetData sheetId="7"/>
      <sheetData sheetId="8">
        <row r="17">
          <cell r="E17">
            <v>30923</v>
          </cell>
          <cell r="G17">
            <v>10069</v>
          </cell>
          <cell r="I17">
            <v>30923</v>
          </cell>
        </row>
      </sheetData>
      <sheetData sheetId="9">
        <row r="8">
          <cell r="E8">
            <v>1023</v>
          </cell>
          <cell r="G8">
            <v>904</v>
          </cell>
          <cell r="I8">
            <v>1023</v>
          </cell>
        </row>
      </sheetData>
      <sheetData sheetId="10">
        <row r="25">
          <cell r="D25">
            <v>12000</v>
          </cell>
          <cell r="F25">
            <v>7272</v>
          </cell>
          <cell r="H25">
            <v>12000</v>
          </cell>
        </row>
      </sheetData>
      <sheetData sheetId="11"/>
      <sheetData sheetId="12">
        <row r="16">
          <cell r="F16">
            <v>200000</v>
          </cell>
          <cell r="J16">
            <v>200000</v>
          </cell>
        </row>
      </sheetData>
      <sheetData sheetId="13">
        <row r="13">
          <cell r="E13">
            <v>1000</v>
          </cell>
          <cell r="G13">
            <v>17</v>
          </cell>
          <cell r="I13">
            <v>1000</v>
          </cell>
        </row>
      </sheetData>
      <sheetData sheetId="14">
        <row r="9">
          <cell r="F9">
            <v>30000</v>
          </cell>
          <cell r="H9">
            <v>0</v>
          </cell>
          <cell r="J9">
            <v>30000</v>
          </cell>
        </row>
      </sheetData>
      <sheetData sheetId="15">
        <row r="11">
          <cell r="D11">
            <v>0</v>
          </cell>
          <cell r="F11">
            <v>0</v>
          </cell>
          <cell r="H11">
            <v>20611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opLeftCell="A31" workbookViewId="0">
      <selection activeCell="C56" sqref="C56"/>
    </sheetView>
  </sheetViews>
  <sheetFormatPr defaultRowHeight="14.25" x14ac:dyDescent="0.2"/>
  <cols>
    <col min="1" max="1" width="28.125" customWidth="1"/>
    <col min="2" max="10" width="11.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3" t="s">
        <v>0</v>
      </c>
      <c r="J1" s="4"/>
    </row>
    <row r="2" spans="1:10" ht="22.5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26.25" x14ac:dyDescent="0.2">
      <c r="A3" s="5" t="s">
        <v>2</v>
      </c>
      <c r="B3" s="6"/>
      <c r="C3" s="7" t="s">
        <v>3</v>
      </c>
      <c r="D3" s="6"/>
      <c r="E3" s="6"/>
      <c r="F3" s="6"/>
      <c r="G3" s="6"/>
      <c r="H3" s="6"/>
      <c r="I3" s="8" t="s">
        <v>4</v>
      </c>
      <c r="J3" s="9"/>
    </row>
    <row r="4" spans="1:10" ht="22.5" x14ac:dyDescent="0.2">
      <c r="A4" s="10" t="s">
        <v>5</v>
      </c>
      <c r="B4" s="11" t="s">
        <v>6</v>
      </c>
      <c r="C4" s="12" t="s">
        <v>7</v>
      </c>
      <c r="D4" s="11" t="s">
        <v>8</v>
      </c>
      <c r="E4" s="173" t="s">
        <v>9</v>
      </c>
      <c r="F4" s="174"/>
      <c r="G4" s="13" t="s">
        <v>7</v>
      </c>
      <c r="H4" s="11" t="s">
        <v>8</v>
      </c>
      <c r="I4" s="173" t="s">
        <v>10</v>
      </c>
      <c r="J4" s="177"/>
    </row>
    <row r="5" spans="1:10" ht="22.5" x14ac:dyDescent="0.2">
      <c r="A5" s="14"/>
      <c r="B5" s="15" t="s">
        <v>11</v>
      </c>
      <c r="C5" s="16" t="s">
        <v>12</v>
      </c>
      <c r="D5" s="15" t="s">
        <v>13</v>
      </c>
      <c r="E5" s="175"/>
      <c r="F5" s="176"/>
      <c r="G5" s="17" t="s">
        <v>14</v>
      </c>
      <c r="H5" s="15" t="s">
        <v>15</v>
      </c>
      <c r="I5" s="175"/>
      <c r="J5" s="178"/>
    </row>
    <row r="6" spans="1:10" ht="21" x14ac:dyDescent="0.2">
      <c r="A6" s="18" t="s">
        <v>16</v>
      </c>
      <c r="B6" s="19"/>
      <c r="C6" s="20"/>
      <c r="D6" s="19"/>
      <c r="E6" s="21"/>
      <c r="F6" s="22"/>
      <c r="G6" s="23"/>
      <c r="H6" s="19"/>
      <c r="I6" s="21"/>
      <c r="J6" s="24"/>
    </row>
    <row r="7" spans="1:10" ht="21" x14ac:dyDescent="0.2">
      <c r="A7" s="25" t="s">
        <v>17</v>
      </c>
      <c r="B7" s="19">
        <f>318980000</f>
        <v>318980000</v>
      </c>
      <c r="C7" s="20">
        <f>B7/4</f>
        <v>79745000</v>
      </c>
      <c r="D7" s="19">
        <f>91185164-D11-D14</f>
        <v>77338553</v>
      </c>
      <c r="E7" s="21" t="s">
        <v>18</v>
      </c>
      <c r="F7" s="26">
        <f>D7/C7*100</f>
        <v>96.982322402658468</v>
      </c>
      <c r="G7" s="23">
        <f>B7/2</f>
        <v>159490000</v>
      </c>
      <c r="H7" s="19">
        <f>182170261-H11-H14</f>
        <v>154445246</v>
      </c>
      <c r="I7" s="21" t="s">
        <v>18</v>
      </c>
      <c r="J7" s="27">
        <f>H7/G7*100</f>
        <v>96.836946517023009</v>
      </c>
    </row>
    <row r="8" spans="1:10" ht="21" x14ac:dyDescent="0.2">
      <c r="A8" s="25" t="s">
        <v>19</v>
      </c>
      <c r="B8" s="19">
        <v>40536000</v>
      </c>
      <c r="C8" s="20">
        <v>0</v>
      </c>
      <c r="D8" s="19">
        <v>0</v>
      </c>
      <c r="E8" s="21" t="s">
        <v>18</v>
      </c>
      <c r="F8" s="26">
        <v>0</v>
      </c>
      <c r="G8" s="23">
        <v>0</v>
      </c>
      <c r="H8" s="19">
        <v>0</v>
      </c>
      <c r="I8" s="21" t="s">
        <v>18</v>
      </c>
      <c r="J8" s="27">
        <v>0</v>
      </c>
    </row>
    <row r="9" spans="1:10" ht="21" x14ac:dyDescent="0.2">
      <c r="A9" s="25" t="s">
        <v>20</v>
      </c>
      <c r="B9" s="19">
        <v>8164000</v>
      </c>
      <c r="C9" s="20">
        <v>0</v>
      </c>
      <c r="D9" s="19">
        <v>0</v>
      </c>
      <c r="E9" s="21" t="s">
        <v>18</v>
      </c>
      <c r="F9" s="26">
        <v>0</v>
      </c>
      <c r="G9" s="23">
        <v>0</v>
      </c>
      <c r="H9" s="19">
        <v>0</v>
      </c>
      <c r="I9" s="21" t="s">
        <v>18</v>
      </c>
      <c r="J9" s="27">
        <v>0</v>
      </c>
    </row>
    <row r="10" spans="1:10" ht="21" x14ac:dyDescent="0.2">
      <c r="A10" s="28" t="s">
        <v>21</v>
      </c>
      <c r="B10" s="29">
        <f t="shared" ref="B10:D10" si="0">SUM(B7:B9)</f>
        <v>367680000</v>
      </c>
      <c r="C10" s="30">
        <f t="shared" si="0"/>
        <v>79745000</v>
      </c>
      <c r="D10" s="29">
        <f t="shared" si="0"/>
        <v>77338553</v>
      </c>
      <c r="E10" s="31" t="s">
        <v>18</v>
      </c>
      <c r="F10" s="32">
        <f t="shared" ref="F10:F43" si="1">D10/C10*100</f>
        <v>96.982322402658468</v>
      </c>
      <c r="G10" s="33">
        <f t="shared" ref="G10:H10" si="2">SUM(G7:G9)</f>
        <v>159490000</v>
      </c>
      <c r="H10" s="29">
        <f t="shared" si="2"/>
        <v>154445246</v>
      </c>
      <c r="I10" s="31" t="s">
        <v>18</v>
      </c>
      <c r="J10" s="34">
        <f t="shared" ref="J10:J43" si="3">H10/G10*100</f>
        <v>96.836946517023009</v>
      </c>
    </row>
    <row r="11" spans="1:10" ht="21" x14ac:dyDescent="0.2">
      <c r="A11" s="25" t="s">
        <v>22</v>
      </c>
      <c r="B11" s="19">
        <v>0</v>
      </c>
      <c r="C11" s="20">
        <f t="shared" ref="C11:C42" si="4">B11/4</f>
        <v>0</v>
      </c>
      <c r="D11" s="19">
        <f>32500000/4</f>
        <v>8125000</v>
      </c>
      <c r="E11" s="21" t="s">
        <v>18</v>
      </c>
      <c r="F11" s="26">
        <v>0</v>
      </c>
      <c r="G11" s="23">
        <f t="shared" ref="G11:G18" si="5">B11/2</f>
        <v>0</v>
      </c>
      <c r="H11" s="19">
        <f>32500000/2</f>
        <v>16250000</v>
      </c>
      <c r="I11" s="21" t="s">
        <v>18</v>
      </c>
      <c r="J11" s="27">
        <v>0</v>
      </c>
    </row>
    <row r="12" spans="1:10" ht="21" x14ac:dyDescent="0.2">
      <c r="A12" s="25" t="s">
        <v>23</v>
      </c>
      <c r="B12" s="19">
        <v>82000000</v>
      </c>
      <c r="C12" s="20">
        <f t="shared" si="4"/>
        <v>20500000</v>
      </c>
      <c r="D12" s="19">
        <f>21027609-1000000</f>
        <v>20027609</v>
      </c>
      <c r="E12" s="21" t="s">
        <v>18</v>
      </c>
      <c r="F12" s="26">
        <f t="shared" si="1"/>
        <v>97.695653658536585</v>
      </c>
      <c r="G12" s="23">
        <f t="shared" si="5"/>
        <v>41000000</v>
      </c>
      <c r="H12" s="19">
        <v>36194390</v>
      </c>
      <c r="I12" s="21" t="s">
        <v>18</v>
      </c>
      <c r="J12" s="27">
        <f t="shared" si="3"/>
        <v>88.278999999999996</v>
      </c>
    </row>
    <row r="13" spans="1:10" ht="21" x14ac:dyDescent="0.2">
      <c r="A13" s="25" t="s">
        <v>24</v>
      </c>
      <c r="B13" s="19">
        <v>3000000</v>
      </c>
      <c r="C13" s="20">
        <v>3000000</v>
      </c>
      <c r="D13" s="19">
        <f>12592+1000000</f>
        <v>1012592</v>
      </c>
      <c r="E13" s="21" t="s">
        <v>18</v>
      </c>
      <c r="F13" s="26">
        <f t="shared" si="1"/>
        <v>33.753066666666662</v>
      </c>
      <c r="G13" s="23">
        <v>3000000</v>
      </c>
      <c r="H13" s="19">
        <v>3311448</v>
      </c>
      <c r="I13" s="21" t="s">
        <v>18</v>
      </c>
      <c r="J13" s="27">
        <f t="shared" si="3"/>
        <v>110.38159999999999</v>
      </c>
    </row>
    <row r="14" spans="1:10" ht="21" x14ac:dyDescent="0.2">
      <c r="A14" s="25" t="s">
        <v>25</v>
      </c>
      <c r="B14" s="19">
        <v>39380000</v>
      </c>
      <c r="C14" s="20">
        <f>(B14-16000000)/4</f>
        <v>5845000</v>
      </c>
      <c r="D14" s="19">
        <v>5721611</v>
      </c>
      <c r="E14" s="21" t="s">
        <v>18</v>
      </c>
      <c r="F14" s="26">
        <f t="shared" si="1"/>
        <v>97.888982035928137</v>
      </c>
      <c r="G14" s="23">
        <f>(B14-16000000)/2</f>
        <v>11690000</v>
      </c>
      <c r="H14" s="19">
        <v>11475015</v>
      </c>
      <c r="I14" s="21" t="s">
        <v>18</v>
      </c>
      <c r="J14" s="27">
        <f t="shared" si="3"/>
        <v>98.160949529512408</v>
      </c>
    </row>
    <row r="15" spans="1:10" ht="21" x14ac:dyDescent="0.2">
      <c r="A15" s="25" t="s">
        <v>26</v>
      </c>
      <c r="B15" s="19">
        <v>2000000</v>
      </c>
      <c r="C15" s="20">
        <f t="shared" si="4"/>
        <v>500000</v>
      </c>
      <c r="D15" s="19">
        <v>42485</v>
      </c>
      <c r="E15" s="21" t="s">
        <v>18</v>
      </c>
      <c r="F15" s="35">
        <f t="shared" si="1"/>
        <v>8.4969999999999999</v>
      </c>
      <c r="G15" s="23">
        <f t="shared" si="5"/>
        <v>1000000</v>
      </c>
      <c r="H15" s="19">
        <v>285477</v>
      </c>
      <c r="I15" s="21" t="s">
        <v>18</v>
      </c>
      <c r="J15" s="36">
        <f t="shared" si="3"/>
        <v>28.547699999999999</v>
      </c>
    </row>
    <row r="16" spans="1:10" ht="21" x14ac:dyDescent="0.2">
      <c r="A16" s="25" t="s">
        <v>27</v>
      </c>
      <c r="B16" s="19">
        <v>350000</v>
      </c>
      <c r="C16" s="20">
        <f t="shared" si="4"/>
        <v>87500</v>
      </c>
      <c r="D16" s="19">
        <v>28373</v>
      </c>
      <c r="E16" s="21" t="s">
        <v>18</v>
      </c>
      <c r="F16" s="35">
        <f t="shared" si="1"/>
        <v>32.426285714285711</v>
      </c>
      <c r="G16" s="23">
        <f t="shared" si="5"/>
        <v>175000</v>
      </c>
      <c r="H16" s="19">
        <v>146651</v>
      </c>
      <c r="I16" s="21" t="s">
        <v>18</v>
      </c>
      <c r="J16" s="36">
        <f t="shared" si="3"/>
        <v>83.80057142857143</v>
      </c>
    </row>
    <row r="17" spans="1:10" ht="21" x14ac:dyDescent="0.2">
      <c r="A17" s="25" t="s">
        <v>28</v>
      </c>
      <c r="B17" s="19">
        <f>20247000+1500000-350000</f>
        <v>21397000</v>
      </c>
      <c r="C17" s="20">
        <v>11535084</v>
      </c>
      <c r="D17" s="19">
        <v>17552619</v>
      </c>
      <c r="E17" s="21" t="s">
        <v>18</v>
      </c>
      <c r="F17" s="26">
        <f t="shared" si="1"/>
        <v>152.16724039460831</v>
      </c>
      <c r="G17" s="23">
        <v>27630056</v>
      </c>
      <c r="H17" s="19">
        <v>37593090</v>
      </c>
      <c r="I17" s="21" t="s">
        <v>18</v>
      </c>
      <c r="J17" s="27">
        <f t="shared" si="3"/>
        <v>136.05868189337002</v>
      </c>
    </row>
    <row r="18" spans="1:10" ht="21" x14ac:dyDescent="0.2">
      <c r="A18" s="25" t="s">
        <v>29</v>
      </c>
      <c r="B18" s="19">
        <f>((300000*2000000*5)+(340000*2000000*7))/1000000</f>
        <v>7760000</v>
      </c>
      <c r="C18" s="20">
        <f t="shared" si="4"/>
        <v>1940000</v>
      </c>
      <c r="D18" s="19">
        <v>1780536.197407</v>
      </c>
      <c r="E18" s="21" t="s">
        <v>18</v>
      </c>
      <c r="F18" s="26">
        <f t="shared" si="1"/>
        <v>91.780216361185566</v>
      </c>
      <c r="G18" s="23">
        <f t="shared" si="5"/>
        <v>3880000</v>
      </c>
      <c r="H18" s="19">
        <v>3547632</v>
      </c>
      <c r="I18" s="21" t="s">
        <v>18</v>
      </c>
      <c r="J18" s="27">
        <f t="shared" si="3"/>
        <v>91.433814432989692</v>
      </c>
    </row>
    <row r="19" spans="1:10" ht="21" x14ac:dyDescent="0.2">
      <c r="A19" s="37" t="s">
        <v>30</v>
      </c>
      <c r="B19" s="38">
        <f t="shared" ref="B19:D19" si="6">SUM(B10:B18)</f>
        <v>523567000</v>
      </c>
      <c r="C19" s="39">
        <f t="shared" si="6"/>
        <v>123152584</v>
      </c>
      <c r="D19" s="38">
        <f t="shared" si="6"/>
        <v>131629378.19740701</v>
      </c>
      <c r="E19" s="40" t="s">
        <v>18</v>
      </c>
      <c r="F19" s="41">
        <f t="shared" si="1"/>
        <v>106.88316389480468</v>
      </c>
      <c r="G19" s="42">
        <f t="shared" ref="G19:H19" si="7">SUM(G10:G18)</f>
        <v>247865056</v>
      </c>
      <c r="H19" s="38">
        <f t="shared" si="7"/>
        <v>263248949</v>
      </c>
      <c r="I19" s="40" t="s">
        <v>18</v>
      </c>
      <c r="J19" s="43">
        <f t="shared" si="3"/>
        <v>106.20655983068465</v>
      </c>
    </row>
    <row r="20" spans="1:10" ht="21" x14ac:dyDescent="0.2">
      <c r="A20" s="18" t="s">
        <v>31</v>
      </c>
      <c r="B20" s="19"/>
      <c r="C20" s="20"/>
      <c r="D20" s="19"/>
      <c r="E20" s="21"/>
      <c r="F20" s="26"/>
      <c r="G20" s="23"/>
      <c r="H20" s="19"/>
      <c r="I20" s="21"/>
      <c r="J20" s="27"/>
    </row>
    <row r="21" spans="1:10" ht="21" x14ac:dyDescent="0.2">
      <c r="A21" s="28" t="s">
        <v>32</v>
      </c>
      <c r="B21" s="29">
        <f t="shared" ref="B21:D21" si="8">SUM(B22:B25)</f>
        <v>503960000</v>
      </c>
      <c r="C21" s="30">
        <f t="shared" si="8"/>
        <v>119000834.01986755</v>
      </c>
      <c r="D21" s="29">
        <f t="shared" si="8"/>
        <v>129612542</v>
      </c>
      <c r="E21" s="31" t="s">
        <v>18</v>
      </c>
      <c r="F21" s="32">
        <f t="shared" si="1"/>
        <v>108.91733916617827</v>
      </c>
      <c r="G21" s="33">
        <f t="shared" ref="G21:H21" si="9">SUM(G22:G25)</f>
        <v>238064736.46357617</v>
      </c>
      <c r="H21" s="29">
        <f t="shared" si="9"/>
        <v>259283305</v>
      </c>
      <c r="I21" s="31" t="s">
        <v>18</v>
      </c>
      <c r="J21" s="34">
        <f t="shared" si="3"/>
        <v>108.9129405940683</v>
      </c>
    </row>
    <row r="22" spans="1:10" ht="21" x14ac:dyDescent="0.2">
      <c r="A22" s="25" t="s">
        <v>33</v>
      </c>
      <c r="B22" s="19">
        <v>464500000</v>
      </c>
      <c r="C22" s="20">
        <f>(B22/1510000*1426221)/4</f>
        <v>109682062.00331126</v>
      </c>
      <c r="D22" s="19">
        <f>123885421-D23</f>
        <v>115760421</v>
      </c>
      <c r="E22" s="21" t="s">
        <v>18</v>
      </c>
      <c r="F22" s="26">
        <f t="shared" si="1"/>
        <v>105.54179861836045</v>
      </c>
      <c r="G22" s="23">
        <f>(B22/1510000*1426599)/2</f>
        <v>219422263.41059604</v>
      </c>
      <c r="H22" s="19">
        <f>247795844-H23</f>
        <v>231545844</v>
      </c>
      <c r="I22" s="21" t="s">
        <v>18</v>
      </c>
      <c r="J22" s="44">
        <f t="shared" si="3"/>
        <v>105.52522811539757</v>
      </c>
    </row>
    <row r="23" spans="1:10" ht="21" x14ac:dyDescent="0.2">
      <c r="A23" s="25" t="s">
        <v>34</v>
      </c>
      <c r="B23" s="19">
        <v>0</v>
      </c>
      <c r="C23" s="20">
        <f t="shared" si="4"/>
        <v>0</v>
      </c>
      <c r="D23" s="19">
        <f>D11</f>
        <v>8125000</v>
      </c>
      <c r="E23" s="21" t="s">
        <v>18</v>
      </c>
      <c r="F23" s="26">
        <v>0</v>
      </c>
      <c r="G23" s="23">
        <f t="shared" ref="G23:G42" si="10">B23/2</f>
        <v>0</v>
      </c>
      <c r="H23" s="19">
        <f>H11</f>
        <v>16250000</v>
      </c>
      <c r="I23" s="21" t="s">
        <v>18</v>
      </c>
      <c r="J23" s="27">
        <v>0</v>
      </c>
    </row>
    <row r="24" spans="1:10" ht="21" x14ac:dyDescent="0.2">
      <c r="A24" s="25" t="s">
        <v>35</v>
      </c>
      <c r="B24" s="19">
        <v>39380000</v>
      </c>
      <c r="C24" s="20">
        <f>(B24/1510000*1426221)/4</f>
        <v>9298772.0165562928</v>
      </c>
      <c r="D24" s="19">
        <f>D14</f>
        <v>5721611</v>
      </c>
      <c r="E24" s="21" t="s">
        <v>18</v>
      </c>
      <c r="F24" s="26">
        <f t="shared" si="1"/>
        <v>61.530823530384197</v>
      </c>
      <c r="G24" s="23">
        <f>(B24/1510000*1426599)/2</f>
        <v>18602473.052980132</v>
      </c>
      <c r="H24" s="19">
        <f>H14</f>
        <v>11475015</v>
      </c>
      <c r="I24" s="21" t="s">
        <v>18</v>
      </c>
      <c r="J24" s="27">
        <f t="shared" si="3"/>
        <v>61.68542734785305</v>
      </c>
    </row>
    <row r="25" spans="1:10" ht="21" x14ac:dyDescent="0.2">
      <c r="A25" s="25" t="s">
        <v>36</v>
      </c>
      <c r="B25" s="19">
        <v>80000</v>
      </c>
      <c r="C25" s="20">
        <f t="shared" si="4"/>
        <v>20000</v>
      </c>
      <c r="D25" s="19">
        <v>5510</v>
      </c>
      <c r="E25" s="21" t="s">
        <v>18</v>
      </c>
      <c r="F25" s="26">
        <f t="shared" si="1"/>
        <v>27.55</v>
      </c>
      <c r="G25" s="23">
        <f t="shared" si="10"/>
        <v>40000</v>
      </c>
      <c r="H25" s="19">
        <v>12446</v>
      </c>
      <c r="I25" s="21" t="s">
        <v>18</v>
      </c>
      <c r="J25" s="27">
        <f t="shared" si="3"/>
        <v>31.114999999999998</v>
      </c>
    </row>
    <row r="26" spans="1:10" ht="21" x14ac:dyDescent="0.2">
      <c r="A26" s="28" t="s">
        <v>37</v>
      </c>
      <c r="B26" s="29">
        <f t="shared" ref="B26:D26" si="11">SUM(B27:B30)</f>
        <v>1807000</v>
      </c>
      <c r="C26" s="30">
        <f t="shared" si="11"/>
        <v>451750</v>
      </c>
      <c r="D26" s="29">
        <f t="shared" si="11"/>
        <v>418104</v>
      </c>
      <c r="E26" s="31" t="s">
        <v>18</v>
      </c>
      <c r="F26" s="32">
        <f t="shared" si="1"/>
        <v>92.552075262866623</v>
      </c>
      <c r="G26" s="33">
        <f t="shared" ref="G26:H26" si="12">SUM(G27:G30)</f>
        <v>900320</v>
      </c>
      <c r="H26" s="29">
        <f t="shared" si="12"/>
        <v>693719</v>
      </c>
      <c r="I26" s="31" t="s">
        <v>18</v>
      </c>
      <c r="J26" s="34">
        <f t="shared" si="3"/>
        <v>77.052492447129907</v>
      </c>
    </row>
    <row r="27" spans="1:10" ht="21" x14ac:dyDescent="0.2">
      <c r="A27" s="25" t="s">
        <v>38</v>
      </c>
      <c r="B27" s="19">
        <f>'[1]یادداشت-هزینه های پرسنلی 1-9'!D22</f>
        <v>755000</v>
      </c>
      <c r="C27" s="20">
        <f t="shared" si="4"/>
        <v>188750</v>
      </c>
      <c r="D27" s="19">
        <f>162189+26021</f>
        <v>188210</v>
      </c>
      <c r="E27" s="21" t="s">
        <v>18</v>
      </c>
      <c r="F27" s="26">
        <f t="shared" si="1"/>
        <v>99.713907284768212</v>
      </c>
      <c r="G27" s="23">
        <f>(B27-6360)/2</f>
        <v>374320</v>
      </c>
      <c r="H27" s="19">
        <f>186625+35063+4000+72536+7500</f>
        <v>305724</v>
      </c>
      <c r="I27" s="21" t="s">
        <v>18</v>
      </c>
      <c r="J27" s="27">
        <f t="shared" si="3"/>
        <v>81.674503098952769</v>
      </c>
    </row>
    <row r="28" spans="1:10" ht="21" x14ac:dyDescent="0.2">
      <c r="A28" s="25" t="s">
        <v>39</v>
      </c>
      <c r="B28" s="19">
        <f>'[1]یادداشت-هزینه دارائی2-9'!C11</f>
        <v>19000</v>
      </c>
      <c r="C28" s="20">
        <f t="shared" si="4"/>
        <v>4750</v>
      </c>
      <c r="D28" s="19">
        <v>622</v>
      </c>
      <c r="E28" s="21" t="s">
        <v>18</v>
      </c>
      <c r="F28" s="26">
        <f t="shared" si="1"/>
        <v>13.094736842105261</v>
      </c>
      <c r="G28" s="23">
        <f t="shared" si="10"/>
        <v>9500</v>
      </c>
      <c r="H28" s="19">
        <v>2765</v>
      </c>
      <c r="I28" s="21" t="s">
        <v>18</v>
      </c>
      <c r="J28" s="27">
        <f t="shared" si="3"/>
        <v>29.10526315789474</v>
      </c>
    </row>
    <row r="29" spans="1:10" ht="21" x14ac:dyDescent="0.2">
      <c r="A29" s="25" t="s">
        <v>40</v>
      </c>
      <c r="B29" s="19">
        <f>'[1]یادداشت-هزینه اداری3-9 '!C26</f>
        <v>333000</v>
      </c>
      <c r="C29" s="20">
        <f t="shared" si="4"/>
        <v>83250</v>
      </c>
      <c r="D29" s="19">
        <f>149+33+95+28375+17114</f>
        <v>45766</v>
      </c>
      <c r="E29" s="21" t="s">
        <v>18</v>
      </c>
      <c r="F29" s="26">
        <f t="shared" si="1"/>
        <v>54.974174174174173</v>
      </c>
      <c r="G29" s="23">
        <f t="shared" si="10"/>
        <v>166500</v>
      </c>
      <c r="H29" s="19">
        <f>82219+40+273+967+3447</f>
        <v>86946</v>
      </c>
      <c r="I29" s="21" t="s">
        <v>18</v>
      </c>
      <c r="J29" s="27">
        <f t="shared" si="3"/>
        <v>52.219819819819826</v>
      </c>
    </row>
    <row r="30" spans="1:10" ht="21" x14ac:dyDescent="0.2">
      <c r="A30" s="25" t="s">
        <v>41</v>
      </c>
      <c r="B30" s="19">
        <f>'[1]یادداشت-هزینه بیمه ای4-9'!C13</f>
        <v>700000</v>
      </c>
      <c r="C30" s="20">
        <f t="shared" si="4"/>
        <v>175000</v>
      </c>
      <c r="D30" s="19">
        <f>120612+10705+917+10561+40711</f>
        <v>183506</v>
      </c>
      <c r="E30" s="21" t="s">
        <v>18</v>
      </c>
      <c r="F30" s="26">
        <f t="shared" si="1"/>
        <v>104.86057142857143</v>
      </c>
      <c r="G30" s="23">
        <f t="shared" si="10"/>
        <v>350000</v>
      </c>
      <c r="H30" s="19">
        <f>155674+21440+23944+97226</f>
        <v>298284</v>
      </c>
      <c r="I30" s="21" t="s">
        <v>18</v>
      </c>
      <c r="J30" s="27">
        <f t="shared" si="3"/>
        <v>85.224000000000004</v>
      </c>
    </row>
    <row r="31" spans="1:10" ht="21" x14ac:dyDescent="0.2">
      <c r="A31" s="28" t="s">
        <v>42</v>
      </c>
      <c r="B31" s="29">
        <f t="shared" ref="B31:D31" si="13">SUM(B32:B35)</f>
        <v>800000</v>
      </c>
      <c r="C31" s="30">
        <f t="shared" si="13"/>
        <v>200000</v>
      </c>
      <c r="D31" s="29">
        <f t="shared" si="13"/>
        <v>171155</v>
      </c>
      <c r="E31" s="31" t="s">
        <v>18</v>
      </c>
      <c r="F31" s="32">
        <f t="shared" si="1"/>
        <v>85.577500000000001</v>
      </c>
      <c r="G31" s="33">
        <f t="shared" ref="G31:H31" si="14">SUM(G32:G35)</f>
        <v>400000</v>
      </c>
      <c r="H31" s="29">
        <f t="shared" si="14"/>
        <v>391552</v>
      </c>
      <c r="I31" s="31" t="s">
        <v>18</v>
      </c>
      <c r="J31" s="34">
        <f t="shared" si="3"/>
        <v>97.887999999999991</v>
      </c>
    </row>
    <row r="32" spans="1:10" ht="21" x14ac:dyDescent="0.2">
      <c r="A32" s="25" t="s">
        <v>43</v>
      </c>
      <c r="B32" s="19">
        <v>500000</v>
      </c>
      <c r="C32" s="20">
        <f t="shared" si="4"/>
        <v>125000</v>
      </c>
      <c r="D32" s="19">
        <v>51634</v>
      </c>
      <c r="E32" s="21" t="s">
        <v>18</v>
      </c>
      <c r="F32" s="26">
        <f t="shared" si="1"/>
        <v>41.307200000000002</v>
      </c>
      <c r="G32" s="23">
        <f t="shared" si="10"/>
        <v>250000</v>
      </c>
      <c r="H32" s="19">
        <v>266134</v>
      </c>
      <c r="I32" s="21" t="s">
        <v>18</v>
      </c>
      <c r="J32" s="27">
        <f t="shared" si="3"/>
        <v>106.45359999999999</v>
      </c>
    </row>
    <row r="33" spans="1:10" ht="21" x14ac:dyDescent="0.2">
      <c r="A33" s="25" t="s">
        <v>44</v>
      </c>
      <c r="B33" s="19">
        <v>200000</v>
      </c>
      <c r="C33" s="20">
        <f t="shared" si="4"/>
        <v>50000</v>
      </c>
      <c r="D33" s="19">
        <f>65509+48190</f>
        <v>113699</v>
      </c>
      <c r="E33" s="21" t="s">
        <v>18</v>
      </c>
      <c r="F33" s="26">
        <f t="shared" si="1"/>
        <v>227.398</v>
      </c>
      <c r="G33" s="23">
        <f t="shared" si="10"/>
        <v>100000</v>
      </c>
      <c r="H33" s="19">
        <f>65509+48190</f>
        <v>113699</v>
      </c>
      <c r="I33" s="21" t="s">
        <v>18</v>
      </c>
      <c r="J33" s="27">
        <f t="shared" si="3"/>
        <v>113.699</v>
      </c>
    </row>
    <row r="34" spans="1:10" ht="21" x14ac:dyDescent="0.2">
      <c r="A34" s="25" t="s">
        <v>45</v>
      </c>
      <c r="B34" s="19">
        <v>50000</v>
      </c>
      <c r="C34" s="20">
        <f t="shared" si="4"/>
        <v>12500</v>
      </c>
      <c r="D34" s="19">
        <v>5068</v>
      </c>
      <c r="E34" s="21" t="s">
        <v>18</v>
      </c>
      <c r="F34" s="26">
        <f t="shared" si="1"/>
        <v>40.544000000000004</v>
      </c>
      <c r="G34" s="23">
        <f t="shared" si="10"/>
        <v>25000</v>
      </c>
      <c r="H34" s="19">
        <v>10801</v>
      </c>
      <c r="I34" s="21" t="s">
        <v>18</v>
      </c>
      <c r="J34" s="27">
        <f t="shared" si="3"/>
        <v>43.204000000000001</v>
      </c>
    </row>
    <row r="35" spans="1:10" ht="21" x14ac:dyDescent="0.2">
      <c r="A35" s="25" t="s">
        <v>46</v>
      </c>
      <c r="B35" s="19">
        <v>50000</v>
      </c>
      <c r="C35" s="20">
        <f t="shared" si="4"/>
        <v>12500</v>
      </c>
      <c r="D35" s="19">
        <f>654+100</f>
        <v>754</v>
      </c>
      <c r="E35" s="21" t="s">
        <v>18</v>
      </c>
      <c r="F35" s="26">
        <f t="shared" si="1"/>
        <v>6.032</v>
      </c>
      <c r="G35" s="23">
        <f t="shared" si="10"/>
        <v>25000</v>
      </c>
      <c r="H35" s="19">
        <f>654+264</f>
        <v>918</v>
      </c>
      <c r="I35" s="21" t="s">
        <v>18</v>
      </c>
      <c r="J35" s="27">
        <f t="shared" si="3"/>
        <v>3.6720000000000002</v>
      </c>
    </row>
    <row r="36" spans="1:10" ht="21" x14ac:dyDescent="0.2">
      <c r="A36" s="28" t="s">
        <v>47</v>
      </c>
      <c r="B36" s="29">
        <f t="shared" ref="B36:D36" si="15">SUM(B37:B38)</f>
        <v>14000000</v>
      </c>
      <c r="C36" s="30">
        <f t="shared" si="15"/>
        <v>2750000</v>
      </c>
      <c r="D36" s="29">
        <f t="shared" si="15"/>
        <v>1427577</v>
      </c>
      <c r="E36" s="31" t="s">
        <v>18</v>
      </c>
      <c r="F36" s="32">
        <f t="shared" si="1"/>
        <v>51.911890909090907</v>
      </c>
      <c r="G36" s="33">
        <f t="shared" ref="G36:H36" si="16">SUM(G37:G38)</f>
        <v>7000000</v>
      </c>
      <c r="H36" s="29">
        <f t="shared" si="16"/>
        <v>2880373</v>
      </c>
      <c r="I36" s="31" t="s">
        <v>18</v>
      </c>
      <c r="J36" s="34">
        <f t="shared" si="3"/>
        <v>41.148185714285709</v>
      </c>
    </row>
    <row r="37" spans="1:10" ht="21" x14ac:dyDescent="0.2">
      <c r="A37" s="25" t="s">
        <v>48</v>
      </c>
      <c r="B37" s="19">
        <v>0</v>
      </c>
      <c r="C37" s="20">
        <f t="shared" si="4"/>
        <v>0</v>
      </c>
      <c r="D37" s="19">
        <v>0</v>
      </c>
      <c r="E37" s="21" t="s">
        <v>18</v>
      </c>
      <c r="F37" s="26">
        <v>0</v>
      </c>
      <c r="G37" s="23">
        <f t="shared" si="10"/>
        <v>0</v>
      </c>
      <c r="H37" s="19">
        <v>0</v>
      </c>
      <c r="I37" s="21" t="s">
        <v>18</v>
      </c>
      <c r="J37" s="27">
        <v>0</v>
      </c>
    </row>
    <row r="38" spans="1:10" ht="21" x14ac:dyDescent="0.2">
      <c r="A38" s="25" t="s">
        <v>49</v>
      </c>
      <c r="B38" s="19">
        <v>14000000</v>
      </c>
      <c r="C38" s="20">
        <f>11000000/12*3</f>
        <v>2750000</v>
      </c>
      <c r="D38" s="19">
        <f>1213619+76957+13406+5916+117679</f>
        <v>1427577</v>
      </c>
      <c r="E38" s="21" t="s">
        <v>18</v>
      </c>
      <c r="F38" s="26">
        <f t="shared" si="1"/>
        <v>51.911890909090907</v>
      </c>
      <c r="G38" s="23">
        <f t="shared" si="10"/>
        <v>7000000</v>
      </c>
      <c r="H38" s="19">
        <f>2857169+13406+9798</f>
        <v>2880373</v>
      </c>
      <c r="I38" s="21" t="s">
        <v>18</v>
      </c>
      <c r="J38" s="27">
        <f t="shared" si="3"/>
        <v>41.148185714285709</v>
      </c>
    </row>
    <row r="39" spans="1:10" ht="21" x14ac:dyDescent="0.2">
      <c r="A39" s="28" t="s">
        <v>50</v>
      </c>
      <c r="B39" s="29">
        <f t="shared" ref="B39" si="17">SUM(B40:B42)</f>
        <v>3000000</v>
      </c>
      <c r="C39" s="30">
        <f t="shared" si="4"/>
        <v>750000</v>
      </c>
      <c r="D39" s="29"/>
      <c r="E39" s="31" t="s">
        <v>18</v>
      </c>
      <c r="F39" s="32">
        <f t="shared" si="1"/>
        <v>0</v>
      </c>
      <c r="G39" s="33">
        <f t="shared" si="10"/>
        <v>1500000</v>
      </c>
      <c r="H39" s="29"/>
      <c r="I39" s="31" t="s">
        <v>18</v>
      </c>
      <c r="J39" s="34">
        <f t="shared" si="3"/>
        <v>0</v>
      </c>
    </row>
    <row r="40" spans="1:10" ht="21" x14ac:dyDescent="0.2">
      <c r="A40" s="25" t="s">
        <v>51</v>
      </c>
      <c r="B40" s="19">
        <v>2500000</v>
      </c>
      <c r="C40" s="20">
        <f t="shared" si="4"/>
        <v>625000</v>
      </c>
      <c r="D40" s="19">
        <v>64909</v>
      </c>
      <c r="E40" s="21" t="s">
        <v>18</v>
      </c>
      <c r="F40" s="26">
        <f t="shared" si="1"/>
        <v>10.385439999999999</v>
      </c>
      <c r="G40" s="23">
        <f t="shared" si="10"/>
        <v>1250000</v>
      </c>
      <c r="H40" s="19">
        <v>97220</v>
      </c>
      <c r="I40" s="21" t="s">
        <v>18</v>
      </c>
      <c r="J40" s="27">
        <f t="shared" si="3"/>
        <v>7.7775999999999996</v>
      </c>
    </row>
    <row r="41" spans="1:10" ht="21" x14ac:dyDescent="0.2">
      <c r="A41" s="25" t="s">
        <v>52</v>
      </c>
      <c r="B41" s="19">
        <v>0</v>
      </c>
      <c r="C41" s="20">
        <f t="shared" si="4"/>
        <v>0</v>
      </c>
      <c r="D41" s="19">
        <v>0</v>
      </c>
      <c r="E41" s="21" t="s">
        <v>18</v>
      </c>
      <c r="F41" s="26">
        <v>0</v>
      </c>
      <c r="G41" s="23">
        <f t="shared" si="10"/>
        <v>0</v>
      </c>
      <c r="H41" s="19">
        <v>0</v>
      </c>
      <c r="I41" s="21" t="s">
        <v>18</v>
      </c>
      <c r="J41" s="27">
        <v>0</v>
      </c>
    </row>
    <row r="42" spans="1:10" ht="21" x14ac:dyDescent="0.2">
      <c r="A42" s="25" t="s">
        <v>53</v>
      </c>
      <c r="B42" s="19">
        <v>500000</v>
      </c>
      <c r="C42" s="20">
        <f t="shared" si="4"/>
        <v>125000</v>
      </c>
      <c r="D42" s="19">
        <v>65079</v>
      </c>
      <c r="E42" s="21" t="s">
        <v>18</v>
      </c>
      <c r="F42" s="26">
        <f t="shared" si="1"/>
        <v>52.063199999999995</v>
      </c>
      <c r="G42" s="23">
        <f t="shared" si="10"/>
        <v>250000</v>
      </c>
      <c r="H42" s="19">
        <v>214355</v>
      </c>
      <c r="I42" s="21" t="s">
        <v>18</v>
      </c>
      <c r="J42" s="27">
        <f t="shared" si="3"/>
        <v>85.74199999999999</v>
      </c>
    </row>
    <row r="43" spans="1:10" ht="21" x14ac:dyDescent="0.2">
      <c r="A43" s="37" t="s">
        <v>54</v>
      </c>
      <c r="B43" s="38">
        <f t="shared" ref="B43:D43" si="18">B39+B36+B31+B26+B21</f>
        <v>523567000</v>
      </c>
      <c r="C43" s="39">
        <f t="shared" si="18"/>
        <v>123152584.01986755</v>
      </c>
      <c r="D43" s="38">
        <f t="shared" si="18"/>
        <v>131629378</v>
      </c>
      <c r="E43" s="40" t="s">
        <v>18</v>
      </c>
      <c r="F43" s="41">
        <f t="shared" si="1"/>
        <v>106.88316371726714</v>
      </c>
      <c r="G43" s="42">
        <f t="shared" ref="G43:H43" si="19">G39+G36+G31+G26+G21</f>
        <v>247865056.46357617</v>
      </c>
      <c r="H43" s="38">
        <f t="shared" si="19"/>
        <v>263248949</v>
      </c>
      <c r="I43" s="40" t="s">
        <v>18</v>
      </c>
      <c r="J43" s="43">
        <f t="shared" si="3"/>
        <v>106.20655963204901</v>
      </c>
    </row>
    <row r="44" spans="1:10" ht="21" x14ac:dyDescent="0.2">
      <c r="A44" s="45"/>
      <c r="B44" s="45"/>
      <c r="C44" s="45"/>
      <c r="D44" s="45"/>
      <c r="E44" s="46"/>
      <c r="F44" s="47"/>
      <c r="G44" s="45"/>
      <c r="H44" s="45"/>
      <c r="I44" s="46"/>
      <c r="J44" s="47"/>
    </row>
  </sheetData>
  <mergeCells count="3">
    <mergeCell ref="A2:J2"/>
    <mergeCell ref="E4:F5"/>
    <mergeCell ref="I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rightToLeft="1" tabSelected="1" workbookViewId="0">
      <selection activeCell="K5" sqref="K5"/>
    </sheetView>
  </sheetViews>
  <sheetFormatPr defaultRowHeight="14.25" x14ac:dyDescent="0.2"/>
  <cols>
    <col min="1" max="1" width="55.25" style="82" customWidth="1"/>
    <col min="2" max="2" width="25.625" style="83" customWidth="1"/>
    <col min="3" max="3" width="3.625" style="84" hidden="1" customWidth="1"/>
    <col min="4" max="4" width="6.75" style="84" bestFit="1" customWidth="1"/>
    <col min="5" max="6" width="15.625" style="83" customWidth="1"/>
    <col min="7" max="8" width="15.625" style="2" customWidth="1"/>
  </cols>
  <sheetData>
    <row r="1" spans="1:8" ht="25.5" customHeight="1" x14ac:dyDescent="0.2">
      <c r="A1" s="185" t="s">
        <v>73</v>
      </c>
      <c r="B1" s="186"/>
      <c r="C1" s="48"/>
      <c r="D1" s="181" t="s">
        <v>55</v>
      </c>
      <c r="E1" s="189" t="s">
        <v>56</v>
      </c>
      <c r="F1" s="49"/>
      <c r="G1" s="181" t="s">
        <v>57</v>
      </c>
      <c r="H1" s="181" t="s">
        <v>58</v>
      </c>
    </row>
    <row r="2" spans="1:8" ht="26.25" thickBot="1" x14ac:dyDescent="0.25">
      <c r="A2" s="187"/>
      <c r="B2" s="188"/>
      <c r="C2" s="50"/>
      <c r="D2" s="182"/>
      <c r="E2" s="190"/>
      <c r="F2" s="51"/>
      <c r="G2" s="182"/>
      <c r="H2" s="182"/>
    </row>
    <row r="3" spans="1:8" ht="25.5" customHeight="1" thickBot="1" x14ac:dyDescent="0.25">
      <c r="A3" s="183" t="s">
        <v>16</v>
      </c>
      <c r="B3" s="184"/>
      <c r="C3" s="88"/>
      <c r="D3" s="89"/>
      <c r="E3" s="90"/>
      <c r="F3" s="91"/>
      <c r="G3" s="89"/>
      <c r="H3" s="92"/>
    </row>
    <row r="4" spans="1:8" ht="25.5" thickBot="1" x14ac:dyDescent="0.25">
      <c r="A4" s="93" t="s">
        <v>74</v>
      </c>
      <c r="B4" s="52"/>
      <c r="C4" s="52"/>
      <c r="D4" s="94"/>
      <c r="E4" s="95">
        <f t="shared" ref="E4:H4" ca="1" si="0">SUM(E5:E16)</f>
        <v>525711000</v>
      </c>
      <c r="F4" s="96"/>
      <c r="G4" s="97">
        <f t="shared" ca="1" si="0"/>
        <v>286711646.33333337</v>
      </c>
      <c r="H4" s="97">
        <f t="shared" ca="1" si="0"/>
        <v>584770100</v>
      </c>
    </row>
    <row r="5" spans="1:8" ht="24.75" x14ac:dyDescent="0.2">
      <c r="A5" s="191" t="s">
        <v>75</v>
      </c>
      <c r="B5" s="98" t="s">
        <v>76</v>
      </c>
      <c r="C5" s="53" t="s">
        <v>59</v>
      </c>
      <c r="D5" s="99">
        <v>1</v>
      </c>
      <c r="E5" s="100">
        <v>185330668</v>
      </c>
      <c r="F5" s="194" t="s">
        <v>77</v>
      </c>
      <c r="G5" s="101">
        <v>146127743</v>
      </c>
      <c r="H5" s="101">
        <f ca="1">455791000-H6-H7-H8-H9-H10-H14</f>
        <v>206450668</v>
      </c>
    </row>
    <row r="6" spans="1:8" ht="24.75" x14ac:dyDescent="0.2">
      <c r="A6" s="192"/>
      <c r="B6" s="103" t="s">
        <v>78</v>
      </c>
      <c r="C6" s="54" t="s">
        <v>59</v>
      </c>
      <c r="D6" s="104" t="s">
        <v>60</v>
      </c>
      <c r="E6" s="105">
        <v>96468402</v>
      </c>
      <c r="F6" s="195"/>
      <c r="G6" s="106">
        <f ca="1">H6/12*7</f>
        <v>56273234.5</v>
      </c>
      <c r="H6" s="106">
        <v>96468402</v>
      </c>
    </row>
    <row r="7" spans="1:8" ht="27" customHeight="1" x14ac:dyDescent="0.2">
      <c r="A7" s="192"/>
      <c r="B7" s="103" t="s">
        <v>79</v>
      </c>
      <c r="C7" s="54" t="s">
        <v>59</v>
      </c>
      <c r="D7" s="104" t="s">
        <v>61</v>
      </c>
      <c r="E7" s="105">
        <v>7259852</v>
      </c>
      <c r="F7" s="195"/>
      <c r="G7" s="106">
        <f ca="1">H7/12*7</f>
        <v>4234913.666666666</v>
      </c>
      <c r="H7" s="106">
        <f ca="1">7259852</f>
        <v>7259852</v>
      </c>
    </row>
    <row r="8" spans="1:8" ht="24.75" x14ac:dyDescent="0.2">
      <c r="A8" s="192"/>
      <c r="B8" s="103" t="s">
        <v>80</v>
      </c>
      <c r="C8" s="54" t="s">
        <v>59</v>
      </c>
      <c r="D8" s="104" t="s">
        <v>62</v>
      </c>
      <c r="E8" s="105">
        <v>31645240</v>
      </c>
      <c r="F8" s="195"/>
      <c r="G8" s="106">
        <f ca="1">H8/12*7</f>
        <v>18459723.333333336</v>
      </c>
      <c r="H8" s="106">
        <v>31645240</v>
      </c>
    </row>
    <row r="9" spans="1:8" ht="24.75" x14ac:dyDescent="0.2">
      <c r="A9" s="192"/>
      <c r="B9" s="103" t="s">
        <v>81</v>
      </c>
      <c r="C9" s="54" t="s">
        <v>59</v>
      </c>
      <c r="D9" s="104" t="s">
        <v>62</v>
      </c>
      <c r="E9" s="105">
        <v>29591838</v>
      </c>
      <c r="F9" s="195"/>
      <c r="G9" s="106">
        <f ca="1">H9/12*7</f>
        <v>17261905.5</v>
      </c>
      <c r="H9" s="106">
        <v>29591838</v>
      </c>
    </row>
    <row r="10" spans="1:8" ht="24.75" x14ac:dyDescent="0.2">
      <c r="A10" s="192"/>
      <c r="B10" s="103" t="s">
        <v>82</v>
      </c>
      <c r="C10" s="54" t="s">
        <v>59</v>
      </c>
      <c r="D10" s="104" t="s">
        <v>62</v>
      </c>
      <c r="E10" s="105">
        <v>37375000</v>
      </c>
      <c r="F10" s="195"/>
      <c r="G10" s="106">
        <f ca="1">H10/12*7</f>
        <v>21802083.333333336</v>
      </c>
      <c r="H10" s="106">
        <v>37375000</v>
      </c>
    </row>
    <row r="11" spans="1:8" ht="24.75" x14ac:dyDescent="0.2">
      <c r="A11" s="192"/>
      <c r="B11" s="103" t="s">
        <v>83</v>
      </c>
      <c r="C11" s="54"/>
      <c r="D11" s="104" t="s">
        <v>62</v>
      </c>
      <c r="E11" s="109">
        <v>65000000</v>
      </c>
      <c r="F11" s="196"/>
      <c r="G11" s="106">
        <v>0</v>
      </c>
      <c r="H11" s="106">
        <v>65000000</v>
      </c>
    </row>
    <row r="12" spans="1:8" ht="24.75" x14ac:dyDescent="0.2">
      <c r="A12" s="192"/>
      <c r="B12" s="103" t="s">
        <v>84</v>
      </c>
      <c r="C12" s="54"/>
      <c r="D12" s="110">
        <v>1</v>
      </c>
      <c r="E12" s="109">
        <v>0</v>
      </c>
      <c r="F12" s="196"/>
      <c r="G12" s="106">
        <v>0</v>
      </c>
      <c r="H12" s="106">
        <v>50779100</v>
      </c>
    </row>
    <row r="13" spans="1:8" ht="24.75" x14ac:dyDescent="0.2">
      <c r="A13" s="193"/>
      <c r="B13" s="103" t="s">
        <v>85</v>
      </c>
      <c r="C13" s="54"/>
      <c r="D13" s="110">
        <v>1</v>
      </c>
      <c r="E13" s="109">
        <v>0</v>
      </c>
      <c r="F13" s="196"/>
      <c r="G13" s="106">
        <v>0</v>
      </c>
      <c r="H13" s="106">
        <v>0</v>
      </c>
    </row>
    <row r="14" spans="1:8" ht="24.75" x14ac:dyDescent="0.2">
      <c r="A14" s="111" t="s">
        <v>86</v>
      </c>
      <c r="B14" s="112"/>
      <c r="C14" s="55" t="s">
        <v>59</v>
      </c>
      <c r="D14" s="110">
        <v>1</v>
      </c>
      <c r="E14" s="105">
        <v>47000000</v>
      </c>
      <c r="F14" s="197"/>
      <c r="G14" s="106">
        <v>22552043</v>
      </c>
      <c r="H14" s="106">
        <v>47000000</v>
      </c>
    </row>
    <row r="15" spans="1:8" ht="24.75" x14ac:dyDescent="0.2">
      <c r="A15" s="111" t="s">
        <v>87</v>
      </c>
      <c r="B15" s="56"/>
      <c r="C15" s="56"/>
      <c r="D15" s="110">
        <v>1</v>
      </c>
      <c r="E15" s="114">
        <v>15040000</v>
      </c>
      <c r="F15" s="115"/>
      <c r="G15" s="116">
        <v>0</v>
      </c>
      <c r="H15" s="116">
        <v>0</v>
      </c>
    </row>
    <row r="16" spans="1:8" ht="25.5" thickBot="1" x14ac:dyDescent="0.25">
      <c r="A16" s="179" t="s">
        <v>88</v>
      </c>
      <c r="B16" s="180"/>
      <c r="C16" s="57"/>
      <c r="D16" s="119"/>
      <c r="E16" s="114">
        <v>11000000</v>
      </c>
      <c r="F16" s="115"/>
      <c r="G16" s="116">
        <v>0</v>
      </c>
      <c r="H16" s="116">
        <v>13200000</v>
      </c>
    </row>
    <row r="17" spans="1:8" ht="25.5" thickBot="1" x14ac:dyDescent="0.25">
      <c r="A17" s="198" t="s">
        <v>89</v>
      </c>
      <c r="B17" s="199"/>
      <c r="C17" s="58"/>
      <c r="D17" s="94"/>
      <c r="E17" s="95">
        <f t="shared" ref="E17:H17" ca="1" si="1">SUM(E18:E19)</f>
        <v>157305505</v>
      </c>
      <c r="F17" s="96"/>
      <c r="G17" s="97">
        <f t="shared" ca="1" si="1"/>
        <v>108135982</v>
      </c>
      <c r="H17" s="97">
        <f t="shared" ca="1" si="1"/>
        <v>143512000</v>
      </c>
    </row>
    <row r="18" spans="1:8" ht="24.75" x14ac:dyDescent="0.2">
      <c r="A18" s="200" t="s">
        <v>23</v>
      </c>
      <c r="B18" s="201"/>
      <c r="C18" s="59"/>
      <c r="D18" s="99">
        <v>2</v>
      </c>
      <c r="E18" s="120">
        <v>143516047</v>
      </c>
      <c r="F18" s="102"/>
      <c r="G18" s="101">
        <v>96359388</v>
      </c>
      <c r="H18" s="101">
        <f ca="1">132000000-2277472+14</f>
        <v>129722542</v>
      </c>
    </row>
    <row r="19" spans="1:8" ht="25.5" thickBot="1" x14ac:dyDescent="0.25">
      <c r="A19" s="179" t="s">
        <v>24</v>
      </c>
      <c r="B19" s="180"/>
      <c r="C19" s="60"/>
      <c r="D19" s="119">
        <v>2</v>
      </c>
      <c r="E19" s="114">
        <v>13789458</v>
      </c>
      <c r="F19" s="115"/>
      <c r="G19" s="116">
        <v>11776594</v>
      </c>
      <c r="H19" s="116">
        <v>13789458</v>
      </c>
    </row>
    <row r="20" spans="1:8" ht="25.5" thickBot="1" x14ac:dyDescent="0.25">
      <c r="A20" s="198" t="s">
        <v>90</v>
      </c>
      <c r="B20" s="199"/>
      <c r="C20" s="58"/>
      <c r="D20" s="94"/>
      <c r="E20" s="95">
        <f t="shared" ref="E20:H20" ca="1" si="2">SUM(E21:E29)</f>
        <v>182469385</v>
      </c>
      <c r="F20" s="96"/>
      <c r="G20" s="97">
        <f t="shared" ca="1" si="2"/>
        <v>43525521</v>
      </c>
      <c r="H20" s="97">
        <f t="shared" ca="1" si="2"/>
        <v>53250000</v>
      </c>
    </row>
    <row r="21" spans="1:8" ht="24.75" x14ac:dyDescent="0.2">
      <c r="A21" s="204" t="s">
        <v>26</v>
      </c>
      <c r="B21" s="205"/>
      <c r="C21" s="61"/>
      <c r="D21" s="99">
        <v>3</v>
      </c>
      <c r="E21" s="120">
        <v>602000</v>
      </c>
      <c r="F21" s="102"/>
      <c r="G21" s="101">
        <v>601494</v>
      </c>
      <c r="H21" s="101">
        <v>600000</v>
      </c>
    </row>
    <row r="22" spans="1:8" ht="24.75" x14ac:dyDescent="0.2">
      <c r="A22" s="202" t="s">
        <v>27</v>
      </c>
      <c r="B22" s="203"/>
      <c r="C22" s="62"/>
      <c r="D22" s="110">
        <v>7</v>
      </c>
      <c r="E22" s="109">
        <v>450000</v>
      </c>
      <c r="F22" s="107"/>
      <c r="G22" s="106">
        <v>183252</v>
      </c>
      <c r="H22" s="106">
        <v>450000</v>
      </c>
    </row>
    <row r="23" spans="1:8" ht="24.75" x14ac:dyDescent="0.2">
      <c r="A23" s="202" t="s">
        <v>28</v>
      </c>
      <c r="B23" s="203"/>
      <c r="C23" s="62"/>
      <c r="D23" s="110">
        <v>4</v>
      </c>
      <c r="E23" s="109">
        <f ca="1">'[2]یادداشت4-صورت درآمدوهزینه'!F22</f>
        <v>22367522</v>
      </c>
      <c r="F23" s="107"/>
      <c r="G23" s="106">
        <f ca="1">'[2]یادداشت4-صورت درآمدوهزینه'!H22</f>
        <v>10367522</v>
      </c>
      <c r="H23" s="106">
        <f ca="1">'[2]یادداشت4-صورت درآمدوهزینه'!J22</f>
        <v>37000000</v>
      </c>
    </row>
    <row r="24" spans="1:8" ht="24.75" x14ac:dyDescent="0.2">
      <c r="A24" s="111" t="s">
        <v>91</v>
      </c>
      <c r="B24" s="65"/>
      <c r="C24" s="63"/>
      <c r="D24" s="123" t="s">
        <v>63</v>
      </c>
      <c r="E24" s="114">
        <f ca="1">'[2]یادداشت1-9-پرداخت سرمایه گذاری'!E24</f>
        <v>13499007</v>
      </c>
      <c r="F24" s="115"/>
      <c r="G24" s="116">
        <v>0</v>
      </c>
      <c r="H24" s="116">
        <v>0</v>
      </c>
    </row>
    <row r="25" spans="1:8" ht="24.75" x14ac:dyDescent="0.2">
      <c r="A25" s="111" t="s">
        <v>92</v>
      </c>
      <c r="B25" s="65"/>
      <c r="C25" s="63"/>
      <c r="D25" s="119">
        <v>4</v>
      </c>
      <c r="E25" s="114">
        <f ca="1">'[2]یادداشت4-صورت درآمدوهزینه'!F24</f>
        <v>18350856</v>
      </c>
      <c r="F25" s="115"/>
      <c r="G25" s="116">
        <f ca="1">'[2]یادداشت4-صورت درآمدوهزینه'!H24</f>
        <v>7928002</v>
      </c>
      <c r="H25" s="116">
        <f ca="1">'[2]یادداشت4-صورت درآمدوهزینه'!J24+'[2]یادداشت4-صورت درآمدوهزینه'!J29</f>
        <v>8000000</v>
      </c>
    </row>
    <row r="26" spans="1:8" ht="24.75" x14ac:dyDescent="0.2">
      <c r="A26" s="206" t="s">
        <v>93</v>
      </c>
      <c r="B26" s="124" t="s">
        <v>94</v>
      </c>
      <c r="C26" s="125">
        <f ca="1">25404164-2856435</f>
        <v>22547729</v>
      </c>
      <c r="D26" s="126">
        <v>4</v>
      </c>
      <c r="E26" s="114"/>
      <c r="F26" s="115"/>
      <c r="G26" s="116"/>
      <c r="H26" s="116"/>
    </row>
    <row r="27" spans="1:8" ht="26.25" x14ac:dyDescent="0.2">
      <c r="A27" s="207"/>
      <c r="B27" s="127" t="s">
        <v>95</v>
      </c>
      <c r="C27" s="128">
        <f ca="1">120000000-C26-C28</f>
        <v>85302271</v>
      </c>
      <c r="D27" s="129"/>
      <c r="E27" s="130">
        <v>120000000</v>
      </c>
      <c r="F27" s="131"/>
      <c r="G27" s="132">
        <v>20229519</v>
      </c>
      <c r="H27" s="132">
        <v>0</v>
      </c>
    </row>
    <row r="28" spans="1:8" ht="26.25" x14ac:dyDescent="0.2">
      <c r="A28" s="208"/>
      <c r="B28" s="136" t="s">
        <v>96</v>
      </c>
      <c r="C28" s="137">
        <v>12150000</v>
      </c>
      <c r="D28" s="138"/>
      <c r="E28" s="120"/>
      <c r="F28" s="102"/>
      <c r="G28" s="101"/>
      <c r="H28" s="101"/>
    </row>
    <row r="29" spans="1:8" ht="25.5" thickBot="1" x14ac:dyDescent="0.25">
      <c r="A29" s="179" t="s">
        <v>29</v>
      </c>
      <c r="B29" s="180"/>
      <c r="C29" s="63"/>
      <c r="D29" s="119">
        <v>5</v>
      </c>
      <c r="E29" s="114">
        <v>7200000</v>
      </c>
      <c r="F29" s="115"/>
      <c r="G29" s="116">
        <v>4215732</v>
      </c>
      <c r="H29" s="116">
        <v>7200000</v>
      </c>
    </row>
    <row r="30" spans="1:8" ht="25.5" thickBot="1" x14ac:dyDescent="0.25">
      <c r="A30" s="209" t="s">
        <v>30</v>
      </c>
      <c r="B30" s="210"/>
      <c r="C30" s="64"/>
      <c r="D30" s="139"/>
      <c r="E30" s="140">
        <f t="shared" ref="E30:H30" ca="1" si="3">E4+E17+E20</f>
        <v>865485890</v>
      </c>
      <c r="F30" s="141"/>
      <c r="G30" s="142">
        <f t="shared" ca="1" si="3"/>
        <v>438373149.33333337</v>
      </c>
      <c r="H30" s="142">
        <f t="shared" ca="1" si="3"/>
        <v>781532100</v>
      </c>
    </row>
    <row r="31" spans="1:8" ht="33.75" thickBot="1" x14ac:dyDescent="0.25">
      <c r="A31" s="211" t="s">
        <v>31</v>
      </c>
      <c r="B31" s="212"/>
      <c r="C31" s="143"/>
      <c r="D31" s="144"/>
      <c r="E31" s="145"/>
      <c r="F31" s="133"/>
      <c r="G31" s="132"/>
      <c r="H31" s="132"/>
    </row>
    <row r="32" spans="1:8" ht="25.5" thickBot="1" x14ac:dyDescent="0.25">
      <c r="A32" s="93" t="s">
        <v>32</v>
      </c>
      <c r="B32" s="52"/>
      <c r="C32" s="52"/>
      <c r="D32" s="94"/>
      <c r="E32" s="95">
        <f t="shared" ref="E32:H32" ca="1" si="4">SUM(E33:E38)</f>
        <v>876418868</v>
      </c>
      <c r="F32" s="96"/>
      <c r="G32" s="97">
        <f t="shared" ca="1" si="4"/>
        <v>432722135</v>
      </c>
      <c r="H32" s="97">
        <f t="shared" ca="1" si="4"/>
        <v>739493430</v>
      </c>
    </row>
    <row r="33" spans="1:8" ht="24.75" x14ac:dyDescent="0.2">
      <c r="A33" s="200" t="s">
        <v>33</v>
      </c>
      <c r="B33" s="201"/>
      <c r="C33" s="59"/>
      <c r="D33" s="146" t="s">
        <v>64</v>
      </c>
      <c r="E33" s="147">
        <v>482716790</v>
      </c>
      <c r="F33" s="122"/>
      <c r="G33" s="121">
        <v>289389134</v>
      </c>
      <c r="H33" s="121">
        <v>514931352</v>
      </c>
    </row>
    <row r="34" spans="1:8" ht="24.75" x14ac:dyDescent="0.2">
      <c r="A34" s="202" t="s">
        <v>97</v>
      </c>
      <c r="B34" s="203"/>
      <c r="C34" s="65"/>
      <c r="D34" s="104" t="s">
        <v>62</v>
      </c>
      <c r="E34" s="148">
        <v>98612078</v>
      </c>
      <c r="F34" s="108"/>
      <c r="G34" s="113">
        <v>57523712</v>
      </c>
      <c r="H34" s="113">
        <v>98612078</v>
      </c>
    </row>
    <row r="35" spans="1:8" ht="24.75" x14ac:dyDescent="0.2">
      <c r="A35" s="202" t="s">
        <v>98</v>
      </c>
      <c r="B35" s="203"/>
      <c r="C35" s="65"/>
      <c r="D35" s="104" t="s">
        <v>62</v>
      </c>
      <c r="E35" s="148">
        <v>65000000</v>
      </c>
      <c r="F35" s="108"/>
      <c r="G35" s="113">
        <v>37916667</v>
      </c>
      <c r="H35" s="113">
        <v>65000000</v>
      </c>
    </row>
    <row r="36" spans="1:8" ht="24.75" x14ac:dyDescent="0.2">
      <c r="A36" s="202" t="s">
        <v>99</v>
      </c>
      <c r="B36" s="203"/>
      <c r="C36" s="65"/>
      <c r="D36" s="104" t="s">
        <v>61</v>
      </c>
      <c r="E36" s="148">
        <v>168000000</v>
      </c>
      <c r="F36" s="108"/>
      <c r="G36" s="113">
        <v>25315526</v>
      </c>
      <c r="H36" s="113">
        <v>0</v>
      </c>
    </row>
    <row r="37" spans="1:8" ht="24.75" x14ac:dyDescent="0.2">
      <c r="A37" s="202" t="s">
        <v>35</v>
      </c>
      <c r="B37" s="203"/>
      <c r="C37" s="62"/>
      <c r="D37" s="110">
        <v>6</v>
      </c>
      <c r="E37" s="148">
        <v>62040000</v>
      </c>
      <c r="F37" s="108"/>
      <c r="G37" s="113">
        <v>22552043</v>
      </c>
      <c r="H37" s="113">
        <f ca="1">47000000+'[2]یادداشت1-اعتبارات'!K21</f>
        <v>60900000</v>
      </c>
    </row>
    <row r="38" spans="1:8" ht="25.5" thickBot="1" x14ac:dyDescent="0.25">
      <c r="A38" s="213" t="s">
        <v>100</v>
      </c>
      <c r="B38" s="214"/>
      <c r="C38" s="60"/>
      <c r="D38" s="119">
        <v>7</v>
      </c>
      <c r="E38" s="149">
        <v>50000</v>
      </c>
      <c r="F38" s="118"/>
      <c r="G38" s="117">
        <v>25053</v>
      </c>
      <c r="H38" s="117">
        <v>50000</v>
      </c>
    </row>
    <row r="39" spans="1:8" ht="25.5" thickBot="1" x14ac:dyDescent="0.25">
      <c r="A39" s="93" t="s">
        <v>101</v>
      </c>
      <c r="B39" s="52"/>
      <c r="C39" s="52"/>
      <c r="D39" s="94">
        <v>5</v>
      </c>
      <c r="E39" s="95">
        <f t="shared" ref="E39:H39" ca="1" si="5">SUM(E40:E43)</f>
        <v>30400000</v>
      </c>
      <c r="F39" s="96"/>
      <c r="G39" s="97">
        <f t="shared" ca="1" si="5"/>
        <v>4296417</v>
      </c>
      <c r="H39" s="97">
        <f t="shared" ca="1" si="5"/>
        <v>33600000</v>
      </c>
    </row>
    <row r="40" spans="1:8" ht="24.75" x14ac:dyDescent="0.2">
      <c r="A40" s="150" t="s">
        <v>102</v>
      </c>
      <c r="B40" s="151" t="s">
        <v>103</v>
      </c>
      <c r="C40" s="66"/>
      <c r="D40" s="152">
        <v>5</v>
      </c>
      <c r="E40" s="153">
        <v>12200000</v>
      </c>
      <c r="F40" s="154"/>
      <c r="G40" s="155">
        <v>80685</v>
      </c>
      <c r="H40" s="155">
        <v>13200000</v>
      </c>
    </row>
    <row r="41" spans="1:8" ht="24.75" x14ac:dyDescent="0.2">
      <c r="A41" s="156"/>
      <c r="B41" s="157" t="s">
        <v>104</v>
      </c>
      <c r="C41" s="67"/>
      <c r="D41" s="158"/>
      <c r="E41" s="159" t="s">
        <v>65</v>
      </c>
      <c r="F41" s="160"/>
      <c r="G41" s="161" t="s">
        <v>65</v>
      </c>
      <c r="H41" s="161" t="s">
        <v>65</v>
      </c>
    </row>
    <row r="42" spans="1:8" ht="24.75" x14ac:dyDescent="0.2">
      <c r="A42" s="162" t="s">
        <v>105</v>
      </c>
      <c r="B42" s="163"/>
      <c r="C42" s="68"/>
      <c r="D42" s="119">
        <v>5</v>
      </c>
      <c r="E42" s="114">
        <v>11000000</v>
      </c>
      <c r="F42" s="115"/>
      <c r="G42" s="116">
        <v>0</v>
      </c>
      <c r="H42" s="116">
        <f ca="1">H16</f>
        <v>13200000</v>
      </c>
    </row>
    <row r="43" spans="1:8" ht="25.5" thickBot="1" x14ac:dyDescent="0.25">
      <c r="A43" s="164" t="s">
        <v>29</v>
      </c>
      <c r="B43" s="165"/>
      <c r="C43" s="66"/>
      <c r="D43" s="119">
        <v>5</v>
      </c>
      <c r="E43" s="149">
        <v>7200000</v>
      </c>
      <c r="F43" s="118"/>
      <c r="G43" s="117">
        <v>4215732</v>
      </c>
      <c r="H43" s="117">
        <f ca="1">H29</f>
        <v>7200000</v>
      </c>
    </row>
    <row r="44" spans="1:8" ht="25.5" thickBot="1" x14ac:dyDescent="0.25">
      <c r="A44" s="198" t="s">
        <v>106</v>
      </c>
      <c r="B44" s="199"/>
      <c r="C44" s="58"/>
      <c r="D44" s="94">
        <v>11</v>
      </c>
      <c r="E44" s="95">
        <f t="shared" ref="E44:H46" ca="1" si="6">E45</f>
        <v>5569405</v>
      </c>
      <c r="F44" s="96"/>
      <c r="G44" s="97">
        <f t="shared" ca="1" si="6"/>
        <v>0</v>
      </c>
      <c r="H44" s="97">
        <f t="shared" ca="1" si="6"/>
        <v>0</v>
      </c>
    </row>
    <row r="45" spans="1:8" ht="25.5" thickBot="1" x14ac:dyDescent="0.25">
      <c r="A45" s="166" t="s">
        <v>107</v>
      </c>
      <c r="B45" s="167"/>
      <c r="C45" s="69"/>
      <c r="D45" s="168">
        <v>11</v>
      </c>
      <c r="E45" s="169">
        <v>5569405</v>
      </c>
      <c r="F45" s="135"/>
      <c r="G45" s="134">
        <v>0</v>
      </c>
      <c r="H45" s="134">
        <v>0</v>
      </c>
    </row>
    <row r="46" spans="1:8" ht="25.5" thickBot="1" x14ac:dyDescent="0.25">
      <c r="A46" s="198" t="s">
        <v>108</v>
      </c>
      <c r="B46" s="199"/>
      <c r="C46" s="58"/>
      <c r="D46" s="94">
        <v>10</v>
      </c>
      <c r="E46" s="95">
        <f t="shared" ca="1" si="6"/>
        <v>727783</v>
      </c>
      <c r="F46" s="96"/>
      <c r="G46" s="97">
        <f t="shared" ca="1" si="6"/>
        <v>205066</v>
      </c>
      <c r="H46" s="97">
        <f t="shared" ca="1" si="6"/>
        <v>868193</v>
      </c>
    </row>
    <row r="47" spans="1:8" ht="25.5" thickBot="1" x14ac:dyDescent="0.25">
      <c r="A47" s="215" t="s">
        <v>41</v>
      </c>
      <c r="B47" s="216"/>
      <c r="C47" s="70"/>
      <c r="D47" s="123" t="s">
        <v>66</v>
      </c>
      <c r="E47" s="149">
        <f ca="1">'[2]یادداشت10-هزینه بیمه ای'!D11</f>
        <v>727783</v>
      </c>
      <c r="F47" s="118"/>
      <c r="G47" s="117">
        <f ca="1">'[2]یادداشت10-هزینه بیمه ای'!F11</f>
        <v>205066</v>
      </c>
      <c r="H47" s="117">
        <f ca="1">'[2]یادداشت10-هزینه بیمه ای'!H11</f>
        <v>868193</v>
      </c>
    </row>
    <row r="48" spans="1:8" ht="25.5" thickBot="1" x14ac:dyDescent="0.25">
      <c r="A48" s="198" t="s">
        <v>37</v>
      </c>
      <c r="B48" s="199"/>
      <c r="C48" s="58"/>
      <c r="D48" s="94">
        <v>8</v>
      </c>
      <c r="E48" s="95">
        <f t="shared" ref="E48:H48" ca="1" si="7">SUM(E49:E51)</f>
        <v>2166929</v>
      </c>
      <c r="F48" s="96"/>
      <c r="G48" s="97">
        <f t="shared" ca="1" si="7"/>
        <v>772865</v>
      </c>
      <c r="H48" s="97">
        <f t="shared" ca="1" si="7"/>
        <v>2091819</v>
      </c>
    </row>
    <row r="49" spans="1:8" ht="24.75" x14ac:dyDescent="0.2">
      <c r="A49" s="204" t="s">
        <v>38</v>
      </c>
      <c r="B49" s="205"/>
      <c r="C49" s="59"/>
      <c r="D49" s="146" t="s">
        <v>67</v>
      </c>
      <c r="E49" s="147">
        <f ca="1">'[2]یادداشت1-8-هزینه های پرسنلی'!E17</f>
        <v>1428484</v>
      </c>
      <c r="F49" s="122"/>
      <c r="G49" s="121">
        <f ca="1">'[2]یادداشت1-8-هزینه های پرسنلی'!G17</f>
        <v>581800</v>
      </c>
      <c r="H49" s="121">
        <f ca="1">'[2]یادداشت1-8-هزینه های پرسنلی'!I17</f>
        <v>1351847</v>
      </c>
    </row>
    <row r="50" spans="1:8" ht="24.75" x14ac:dyDescent="0.2">
      <c r="A50" s="202" t="s">
        <v>39</v>
      </c>
      <c r="B50" s="203"/>
      <c r="C50" s="65"/>
      <c r="D50" s="104" t="s">
        <v>68</v>
      </c>
      <c r="E50" s="148">
        <f ca="1">'[2]یادداشت2-8-هزینه دارائی'!E8</f>
        <v>29461</v>
      </c>
      <c r="F50" s="108"/>
      <c r="G50" s="113">
        <f ca="1">'[2]یادداشت2-8-هزینه دارائی'!G8</f>
        <v>6790</v>
      </c>
      <c r="H50" s="113">
        <f ca="1">'[2]یادداشت2-8-هزینه دارائی'!I8</f>
        <v>29461</v>
      </c>
    </row>
    <row r="51" spans="1:8" ht="25.5" thickBot="1" x14ac:dyDescent="0.25">
      <c r="A51" s="202" t="s">
        <v>40</v>
      </c>
      <c r="B51" s="203"/>
      <c r="C51" s="65"/>
      <c r="D51" s="104" t="s">
        <v>69</v>
      </c>
      <c r="E51" s="148">
        <f ca="1">'[2]یادداشت3-8-هزینه اداری'!D25</f>
        <v>708984</v>
      </c>
      <c r="F51" s="108"/>
      <c r="G51" s="113">
        <f ca="1">'[2]یادداشت3-8-هزینه اداری'!F25</f>
        <v>184275</v>
      </c>
      <c r="H51" s="113">
        <f ca="1">'[2]یادداشت3-8-هزینه اداری'!H25</f>
        <v>710511</v>
      </c>
    </row>
    <row r="52" spans="1:8" ht="25.5" thickBot="1" x14ac:dyDescent="0.25">
      <c r="A52" s="198" t="s">
        <v>109</v>
      </c>
      <c r="B52" s="199"/>
      <c r="C52" s="58"/>
      <c r="D52" s="94">
        <v>9</v>
      </c>
      <c r="E52" s="95">
        <f t="shared" ref="E52:H52" ca="1" si="8">SUM(E53:E56)</f>
        <v>18101213.05438</v>
      </c>
      <c r="F52" s="96"/>
      <c r="G52" s="97">
        <f t="shared" ca="1" si="8"/>
        <v>369282</v>
      </c>
      <c r="H52" s="97">
        <f t="shared" ca="1" si="8"/>
        <v>4528659.0543799996</v>
      </c>
    </row>
    <row r="53" spans="1:8" ht="24.75" x14ac:dyDescent="0.2">
      <c r="A53" s="200" t="s">
        <v>43</v>
      </c>
      <c r="B53" s="201"/>
      <c r="C53" s="59"/>
      <c r="D53" s="146" t="s">
        <v>63</v>
      </c>
      <c r="E53" s="120">
        <f ca="1">'[2]یادداشت1-9-پرداخت سرمایه گذاری'!E24+'[2]یادداشت1-9-پرداخت سرمایه گذاری'!G24</f>
        <v>17000000</v>
      </c>
      <c r="F53" s="102"/>
      <c r="G53" s="101">
        <f ca="1">'[2]یادداشت1-9-پرداخت سرمایه گذاری'!I24+'[2]یادداشت1-9-پرداخت سرمایه گذاری'!K24</f>
        <v>340149</v>
      </c>
      <c r="H53" s="101">
        <f ca="1">'[2]یادداشت1-9-پرداخت سرمایه گذاری'!O24</f>
        <v>3500000</v>
      </c>
    </row>
    <row r="54" spans="1:8" ht="24.75" x14ac:dyDescent="0.2">
      <c r="A54" s="202" t="s">
        <v>44</v>
      </c>
      <c r="B54" s="203"/>
      <c r="C54" s="65"/>
      <c r="D54" s="104" t="s">
        <v>70</v>
      </c>
      <c r="E54" s="109">
        <f ca="1">'[2]یادداشت2-9-زمین ساختمان تاسیس '!F16</f>
        <v>501073</v>
      </c>
      <c r="F54" s="107"/>
      <c r="G54" s="106">
        <f ca="1">'[2]یادداشت2-9-زمین ساختمان تاسیس '!H16</f>
        <v>35</v>
      </c>
      <c r="H54" s="106">
        <f ca="1">'[2]یادداشت2-9-زمین ساختمان تاسیس '!J16</f>
        <v>501073</v>
      </c>
    </row>
    <row r="55" spans="1:8" ht="24.75" x14ac:dyDescent="0.2">
      <c r="A55" s="202" t="s">
        <v>45</v>
      </c>
      <c r="B55" s="203"/>
      <c r="C55" s="65"/>
      <c r="D55" s="104" t="s">
        <v>71</v>
      </c>
      <c r="E55" s="109">
        <f ca="1">'[2]یادداشت-3-9- اثاثیه اداری و '!E13</f>
        <v>95610</v>
      </c>
      <c r="F55" s="107"/>
      <c r="G55" s="106">
        <f ca="1">'[2]یادداشت-3-9- اثاثیه اداری و '!G13</f>
        <v>29098</v>
      </c>
      <c r="H55" s="106">
        <f ca="1">'[2]یادداشت-3-9- اثاثیه اداری و '!I13</f>
        <v>23056</v>
      </c>
    </row>
    <row r="56" spans="1:8" ht="25.5" thickBot="1" x14ac:dyDescent="0.25">
      <c r="A56" s="179" t="s">
        <v>46</v>
      </c>
      <c r="B56" s="180"/>
      <c r="C56" s="60"/>
      <c r="D56" s="123" t="s">
        <v>72</v>
      </c>
      <c r="E56" s="114">
        <f ca="1">'[2]یادداشت4-9-هزینه بیمه ای'!F9</f>
        <v>504530.05437999999</v>
      </c>
      <c r="F56" s="115"/>
      <c r="G56" s="116">
        <f ca="1">'[2]یادداشت4-9-هزینه بیمه ای'!H9</f>
        <v>0</v>
      </c>
      <c r="H56" s="116">
        <f ca="1">'[2]یادداشت4-9-هزینه بیمه ای'!J9</f>
        <v>504530.05437999999</v>
      </c>
    </row>
    <row r="57" spans="1:8" ht="25.5" thickBot="1" x14ac:dyDescent="0.25">
      <c r="A57" s="198" t="s">
        <v>50</v>
      </c>
      <c r="B57" s="199"/>
      <c r="C57" s="58"/>
      <c r="D57" s="94"/>
      <c r="E57" s="95">
        <f t="shared" ref="E57:H57" ca="1" si="9">SUM(E58:E60)</f>
        <v>950000</v>
      </c>
      <c r="F57" s="96"/>
      <c r="G57" s="97">
        <f t="shared" ca="1" si="9"/>
        <v>7384</v>
      </c>
      <c r="H57" s="97">
        <f t="shared" ca="1" si="9"/>
        <v>949999.7</v>
      </c>
    </row>
    <row r="58" spans="1:8" ht="24.75" x14ac:dyDescent="0.2">
      <c r="A58" s="200" t="s">
        <v>51</v>
      </c>
      <c r="B58" s="201"/>
      <c r="C58" s="59"/>
      <c r="D58" s="99">
        <v>3</v>
      </c>
      <c r="E58" s="120">
        <v>450000</v>
      </c>
      <c r="F58" s="102"/>
      <c r="G58" s="101">
        <v>7384</v>
      </c>
      <c r="H58" s="101">
        <v>450000</v>
      </c>
    </row>
    <row r="59" spans="1:8" ht="24.75" x14ac:dyDescent="0.2">
      <c r="A59" s="202" t="s">
        <v>52</v>
      </c>
      <c r="B59" s="203"/>
      <c r="C59" s="65"/>
      <c r="D59" s="110"/>
      <c r="E59" s="109">
        <v>0</v>
      </c>
      <c r="F59" s="107"/>
      <c r="G59" s="106">
        <v>0</v>
      </c>
      <c r="H59" s="106">
        <v>0</v>
      </c>
    </row>
    <row r="60" spans="1:8" ht="25.5" thickBot="1" x14ac:dyDescent="0.25">
      <c r="A60" s="179" t="s">
        <v>53</v>
      </c>
      <c r="B60" s="180"/>
      <c r="C60" s="60"/>
      <c r="D60" s="119"/>
      <c r="E60" s="114">
        <v>500000</v>
      </c>
      <c r="F60" s="115"/>
      <c r="G60" s="116">
        <v>0</v>
      </c>
      <c r="H60" s="116">
        <f ca="1">500000-0.3</f>
        <v>499999.7</v>
      </c>
    </row>
    <row r="61" spans="1:8" ht="25.5" thickBot="1" x14ac:dyDescent="0.25">
      <c r="A61" s="209" t="s">
        <v>54</v>
      </c>
      <c r="B61" s="210"/>
      <c r="C61" s="71"/>
      <c r="D61" s="139"/>
      <c r="E61" s="140">
        <f t="shared" ref="E61:G61" ca="1" si="10">E32+E39+E46+E48+E52+E57</f>
        <v>928764793.05437994</v>
      </c>
      <c r="F61" s="141"/>
      <c r="G61" s="142">
        <f t="shared" ca="1" si="10"/>
        <v>438373149</v>
      </c>
      <c r="H61" s="142">
        <f ca="1">H32+H39+H46+H48+H52+H57-0.4</f>
        <v>781532100.35438001</v>
      </c>
    </row>
    <row r="62" spans="1:8" ht="21.75" thickBot="1" x14ac:dyDescent="0.25">
      <c r="A62" s="217" t="s">
        <v>110</v>
      </c>
      <c r="B62" s="218"/>
      <c r="C62" s="218"/>
      <c r="D62" s="219"/>
      <c r="E62" s="72">
        <f t="shared" ref="E62:H62" ca="1" si="11">E30-E61</f>
        <v>-63278903.05437994</v>
      </c>
      <c r="F62" s="73"/>
      <c r="G62" s="72">
        <f t="shared" ca="1" si="11"/>
        <v>0.33333337306976318</v>
      </c>
      <c r="H62" s="72">
        <f t="shared" ca="1" si="11"/>
        <v>-0.35438001155853271</v>
      </c>
    </row>
    <row r="63" spans="1:8" ht="21.75" thickBot="1" x14ac:dyDescent="0.25">
      <c r="A63" s="74"/>
      <c r="B63" s="74"/>
      <c r="C63" s="74"/>
      <c r="D63" s="75"/>
      <c r="E63" s="76"/>
      <c r="F63" s="76"/>
      <c r="G63" s="76"/>
      <c r="H63" s="76"/>
    </row>
    <row r="64" spans="1:8" ht="24.75" thickBot="1" x14ac:dyDescent="0.25">
      <c r="A64" s="170" t="s">
        <v>111</v>
      </c>
      <c r="B64" s="171"/>
      <c r="C64" s="77"/>
      <c r="D64" s="78"/>
      <c r="E64" s="79">
        <f t="shared" ref="E64:H64" ca="1" si="12">E61-E30</f>
        <v>63278903.05437994</v>
      </c>
      <c r="F64" s="80"/>
      <c r="G64" s="81">
        <f t="shared" ca="1" si="12"/>
        <v>-0.33333337306976318</v>
      </c>
      <c r="H64" s="81">
        <f t="shared" ca="1" si="12"/>
        <v>0.35438001155853271</v>
      </c>
    </row>
    <row r="65" spans="1:8" ht="24.75" thickBot="1" x14ac:dyDescent="0.25">
      <c r="A65" s="77"/>
      <c r="B65" s="78"/>
      <c r="C65" s="79">
        <f t="shared" ref="C65:H65" ca="1" si="13">C62-C31</f>
        <v>0</v>
      </c>
      <c r="D65" s="80"/>
      <c r="E65" s="81">
        <f t="shared" ca="1" si="13"/>
        <v>-0.33333337306976318</v>
      </c>
      <c r="F65" s="81">
        <f t="shared" ca="1" si="13"/>
        <v>0.35438001155853271</v>
      </c>
      <c r="G65" s="79">
        <f t="shared" ca="1" si="13"/>
        <v>0</v>
      </c>
      <c r="H65" s="79">
        <f t="shared" ca="1" si="13"/>
        <v>0</v>
      </c>
    </row>
    <row r="66" spans="1:8" x14ac:dyDescent="0.2">
      <c r="G66" s="85"/>
    </row>
    <row r="85" spans="6:8" x14ac:dyDescent="0.2">
      <c r="G85" s="86">
        <v>129722542</v>
      </c>
      <c r="H85" s="86"/>
    </row>
    <row r="86" spans="6:8" x14ac:dyDescent="0.2">
      <c r="G86" s="86"/>
      <c r="H86" s="86"/>
    </row>
    <row r="87" spans="6:8" x14ac:dyDescent="0.2">
      <c r="F87" s="83">
        <v>9</v>
      </c>
      <c r="G87" s="87">
        <f ca="1">G85/22.5*100/12*1000000/1015000</f>
        <v>47335355.592045248</v>
      </c>
      <c r="H87" s="87">
        <f ca="1">G87*F87/100*1015000*12/1000000</f>
        <v>51889016.799999997</v>
      </c>
    </row>
    <row r="88" spans="6:8" x14ac:dyDescent="0.2">
      <c r="F88" s="83">
        <v>13.5</v>
      </c>
      <c r="G88" s="86"/>
      <c r="H88" s="87">
        <f ca="1">G87*F88/100*1015000*12/1000000</f>
        <v>77833525.199999988</v>
      </c>
    </row>
    <row r="89" spans="6:8" x14ac:dyDescent="0.2">
      <c r="G89" s="86"/>
      <c r="H89" s="87"/>
    </row>
    <row r="90" spans="6:8" x14ac:dyDescent="0.2">
      <c r="G90" s="86"/>
      <c r="H90" s="87"/>
    </row>
    <row r="91" spans="6:8" x14ac:dyDescent="0.2">
      <c r="G91" s="86"/>
      <c r="H91" s="87">
        <f ca="1">H87+H88</f>
        <v>129722541.99999999</v>
      </c>
    </row>
    <row r="92" spans="6:8" x14ac:dyDescent="0.2">
      <c r="G92" s="86"/>
      <c r="H92" s="87"/>
    </row>
    <row r="93" spans="6:8" x14ac:dyDescent="0.2">
      <c r="G93" s="86"/>
      <c r="H93" s="86"/>
    </row>
  </sheetData>
  <mergeCells count="44">
    <mergeCell ref="A61:B61"/>
    <mergeCell ref="A62:D62"/>
    <mergeCell ref="A55:B55"/>
    <mergeCell ref="A56:B56"/>
    <mergeCell ref="A57:B57"/>
    <mergeCell ref="A58:B58"/>
    <mergeCell ref="A59:B59"/>
    <mergeCell ref="A60:B60"/>
    <mergeCell ref="A54:B54"/>
    <mergeCell ref="A37:B37"/>
    <mergeCell ref="A38:B38"/>
    <mergeCell ref="A44:B44"/>
    <mergeCell ref="A46:B46"/>
    <mergeCell ref="A47:B47"/>
    <mergeCell ref="A48:B48"/>
    <mergeCell ref="A49:B49"/>
    <mergeCell ref="A50:B50"/>
    <mergeCell ref="A51:B51"/>
    <mergeCell ref="A52:B52"/>
    <mergeCell ref="A53:B53"/>
    <mergeCell ref="A16:B16"/>
    <mergeCell ref="A17:B17"/>
    <mergeCell ref="A18:B18"/>
    <mergeCell ref="A36:B36"/>
    <mergeCell ref="A20:B20"/>
    <mergeCell ref="A21:B21"/>
    <mergeCell ref="A22:B22"/>
    <mergeCell ref="A23:B23"/>
    <mergeCell ref="A26:A28"/>
    <mergeCell ref="A29:B29"/>
    <mergeCell ref="A30:B30"/>
    <mergeCell ref="A31:B31"/>
    <mergeCell ref="A33:B33"/>
    <mergeCell ref="A34:B34"/>
    <mergeCell ref="A35:B35"/>
    <mergeCell ref="A19:B19"/>
    <mergeCell ref="A3:B3"/>
    <mergeCell ref="A1:B2"/>
    <mergeCell ref="D1:D2"/>
    <mergeCell ref="E1:E2"/>
    <mergeCell ref="G1:G2"/>
    <mergeCell ref="H1:H2"/>
    <mergeCell ref="A5:A13"/>
    <mergeCell ref="F5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98</vt:lpstr>
      <vt:lpstr>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2021-06-07T09:05:49Z</dcterms:modified>
</cp:coreProperties>
</file>